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11940" windowHeight="10032" tabRatio="822"/>
  </bookViews>
  <sheets>
    <sheet name="17" sheetId="12" r:id="rId1"/>
  </sheets>
  <definedNames>
    <definedName name="_xlnm._FilterDatabase" localSheetId="0" hidden="1">'17'!$A$9:$Q$173</definedName>
    <definedName name="Z_02F83A32_E946_46B4_AE76_1CBCE8225B01_.wvu.FilterData" localSheetId="0" hidden="1">'17'!$A$8:$L$158</definedName>
    <definedName name="Z_2C9006A0_9401_4CFF_8AFA_B316B566DB81_.wvu.FilterData" localSheetId="0" hidden="1">'17'!$A$8:$L$158</definedName>
    <definedName name="Z_342F26E8_59E2_4E85_B37B_0EA9CB708A1E_.wvu.FilterData" localSheetId="0" hidden="1">'17'!$A$8:$L$158</definedName>
    <definedName name="Z_342F26E8_59E2_4E85_B37B_0EA9CB708A1E_.wvu.PrintArea" localSheetId="0" hidden="1">'17'!$A$1:$D$158</definedName>
    <definedName name="Z_342F26E8_59E2_4E85_B37B_0EA9CB708A1E_.wvu.PrintTitles" localSheetId="0" hidden="1">'17'!$7:$8</definedName>
    <definedName name="Z_342F26E8_59E2_4E85_B37B_0EA9CB708A1E_.wvu.Rows" localSheetId="0" hidden="1">'17'!#REF!</definedName>
    <definedName name="Z_5BB53FF3_E0CB_4A5F_A4B4_2A6C9FC4187F_.wvu.FilterData" localSheetId="0" hidden="1">'17'!$A$8:$L$101</definedName>
    <definedName name="Z_65BA5E89_0B71_4210_AE58_E27A33F1DC91_.wvu.FilterData" localSheetId="0" hidden="1">'17'!$A$8:$L$158</definedName>
    <definedName name="Z_65BA5E89_0B71_4210_AE58_E27A33F1DC91_.wvu.PrintArea" localSheetId="0" hidden="1">'17'!$A$1:$D$158</definedName>
    <definedName name="Z_65BA5E89_0B71_4210_AE58_E27A33F1DC91_.wvu.PrintTitles" localSheetId="0" hidden="1">'17'!$7:$8</definedName>
    <definedName name="Z_65BA5E89_0B71_4210_AE58_E27A33F1DC91_.wvu.Rows" localSheetId="0" hidden="1">'17'!#REF!</definedName>
    <definedName name="Z_82B4E3E9_1424_47DB_916A_F14F99DE4160_.wvu.FilterData" localSheetId="0" hidden="1">'17'!$A$8:$L$158</definedName>
    <definedName name="Z_82B4E3E9_1424_47DB_916A_F14F99DE4160_.wvu.PrintArea" localSheetId="0" hidden="1">'17'!$A$1:$D$158</definedName>
    <definedName name="Z_82B4E3E9_1424_47DB_916A_F14F99DE4160_.wvu.PrintTitles" localSheetId="0" hidden="1">'17'!$7:$8</definedName>
    <definedName name="Z_82B4E3E9_1424_47DB_916A_F14F99DE4160_.wvu.Rows" localSheetId="0" hidden="1">'17'!#REF!</definedName>
    <definedName name="Z_82D4DD35_B373_4221_9B7B_B34C21250E7F_.wvu.FilterData" localSheetId="0" hidden="1">'17'!$A$8:$L$158</definedName>
    <definedName name="Z_85063E09_F0C3_452C_8DB8_485ED0C3E760_.wvu.FilterData" localSheetId="0" hidden="1">'17'!$A$8:$L$101</definedName>
    <definedName name="Z_C48E651C_24B8_4D3A_A062_B2363A350AC1_.wvu.FilterData" localSheetId="0" hidden="1">'17'!$A$8:$L$158</definedName>
    <definedName name="Z_C723AF61_EC92_4403_9850_CCFC5E2DA6F2_.wvu.FilterData" localSheetId="0" hidden="1">'17'!$A$8:$L$158</definedName>
    <definedName name="Z_CBD6A309_B6FD_4E9E_9D02_75A1A9ECA94B_.wvu.FilterData" localSheetId="0" hidden="1">'17'!$A$8:$L$101</definedName>
    <definedName name="Z_E0EB217B_D2FA_4103_AFC9_F05BF97D30D1_.wvu.FilterData" localSheetId="0" hidden="1">'17'!$A$8:$L$101</definedName>
    <definedName name="Z_E6AA58C4_D33C_4BC6_BF9D_287F39FF1808_.wvu.FilterData" localSheetId="0" hidden="1">'17'!$A$8:$L$158</definedName>
    <definedName name="Z_F8A7B29B_81D4_4443_AEAA_C5DCABCD646A_.wvu.FilterData" localSheetId="0" hidden="1">'17'!$A$8:$L$101</definedName>
    <definedName name="Z_F8A7B29B_81D4_4443_AEAA_C5DCABCD646A_.wvu.PrintArea" localSheetId="0" hidden="1">'17'!$A$1:$D$158</definedName>
    <definedName name="Z_F8A7B29B_81D4_4443_AEAA_C5DCABCD646A_.wvu.PrintTitles" localSheetId="0" hidden="1">'17'!$7:$8</definedName>
    <definedName name="Z_F8A7B29B_81D4_4443_AEAA_C5DCABCD646A_.wvu.Rows" localSheetId="0" hidden="1">'17'!#REF!,'17'!#REF!</definedName>
    <definedName name="_xlnm.Print_Titles" localSheetId="0">'17'!$7:$8</definedName>
    <definedName name="_xlnm.Print_Area" localSheetId="0">'17'!$A$1:$D$173</definedName>
  </definedNames>
  <calcPr calcId="145621"/>
  <customWorkbookViews>
    <customWorkbookView name="Вагапова Эвелина Эскендеровна - Личное представление" guid="{342F26E8-59E2-4E85-B37B-0EA9CB708A1E}" mergeInterval="0" personalView="1" maximized="1" windowWidth="1276" windowHeight="799" tabRatio="822" activeSheetId="4"/>
    <customWorkbookView name="Прошкина Надежда Анатольевна - Личное представление" guid="{F8A7B29B-81D4-4443-AEAA-C5DCABCD646A}" mergeInterval="0" personalView="1" maximized="1" windowWidth="1596" windowHeight="675" tabRatio="822" activeSheetId="1"/>
    <customWorkbookView name="Усеинова Лутфие Рефатовна - Личное представление" guid="{65BA5E89-0B71-4210-AE58-E27A33F1DC91}" mergeInterval="0" personalView="1" maximized="1" windowWidth="1276" windowHeight="799" tabRatio="822" activeSheetId="4"/>
    <customWorkbookView name="Немтинов Евгений Викторович - Личное представление" guid="{82B4E3E9-1424-47DB-916A-F14F99DE4160}" mergeInterval="0" personalView="1" maximized="1" windowWidth="1916" windowHeight="835" tabRatio="822" activeSheetId="4"/>
  </customWorkbookViews>
</workbook>
</file>

<file path=xl/calcChain.xml><?xml version="1.0" encoding="utf-8"?>
<calcChain xmlns="http://schemas.openxmlformats.org/spreadsheetml/2006/main">
  <c r="D154" i="12" l="1"/>
  <c r="D78" i="12" l="1"/>
  <c r="D120" i="12"/>
  <c r="D77" i="12"/>
  <c r="D71" i="12"/>
  <c r="D39" i="12"/>
  <c r="D32" i="12"/>
  <c r="D14" i="12"/>
  <c r="D125" i="12" l="1"/>
  <c r="D123" i="12"/>
  <c r="D129" i="12" l="1"/>
  <c r="D130" i="12"/>
  <c r="D118" i="12"/>
  <c r="D117" i="12"/>
  <c r="D116" i="12"/>
  <c r="D113" i="12" l="1"/>
  <c r="D111" i="12"/>
  <c r="D110" i="12"/>
  <c r="D108" i="12"/>
  <c r="D107" i="12"/>
  <c r="D105" i="12"/>
  <c r="D103" i="12"/>
  <c r="D102" i="12"/>
  <c r="D101" i="12"/>
  <c r="D100" i="12"/>
  <c r="D99" i="12"/>
  <c r="D97" i="12"/>
  <c r="D96" i="12"/>
  <c r="D95" i="12"/>
  <c r="D94" i="12"/>
  <c r="D93" i="12"/>
  <c r="D92" i="12"/>
  <c r="D91" i="12"/>
  <c r="D89" i="12"/>
  <c r="D87" i="12"/>
  <c r="D86" i="12"/>
  <c r="D85" i="12"/>
  <c r="D81" i="12"/>
  <c r="D80" i="12"/>
  <c r="D79" i="12"/>
  <c r="D75" i="12"/>
  <c r="D70" i="12"/>
  <c r="D69" i="12"/>
  <c r="D68" i="12"/>
  <c r="D67" i="12"/>
  <c r="D66" i="12"/>
  <c r="D65" i="12"/>
  <c r="D64" i="12"/>
  <c r="D63" i="12"/>
  <c r="D62" i="12"/>
  <c r="D61" i="12"/>
  <c r="D60" i="12"/>
  <c r="D59" i="12"/>
  <c r="D58" i="12"/>
  <c r="D57" i="12" l="1"/>
  <c r="D56" i="12"/>
  <c r="D55" i="12"/>
  <c r="D54" i="12"/>
  <c r="D53" i="12"/>
  <c r="D52" i="12"/>
  <c r="D49" i="12"/>
  <c r="D48" i="12"/>
  <c r="D47" i="12"/>
  <c r="D46" i="12"/>
  <c r="D44" i="12"/>
  <c r="D43" i="12"/>
  <c r="D42" i="12"/>
  <c r="D41" i="12"/>
  <c r="D40" i="12"/>
  <c r="D38" i="12"/>
  <c r="D37" i="12"/>
  <c r="D36" i="12"/>
  <c r="D34" i="12"/>
  <c r="D35" i="12"/>
  <c r="D33" i="12" l="1"/>
  <c r="D31" i="12"/>
  <c r="D30" i="12"/>
  <c r="D29" i="12"/>
  <c r="D28" i="12"/>
  <c r="D27" i="12"/>
  <c r="D26" i="12"/>
  <c r="D25" i="12"/>
  <c r="D24" i="12"/>
  <c r="D23" i="12"/>
  <c r="D22" i="12"/>
  <c r="D21" i="12"/>
  <c r="D20" i="12"/>
  <c r="D18" i="12"/>
  <c r="D17" i="12"/>
  <c r="D16" i="12"/>
  <c r="D15" i="12"/>
  <c r="D13" i="12"/>
  <c r="D12" i="12"/>
  <c r="D11" i="12"/>
  <c r="D10" i="12" s="1"/>
  <c r="D163" i="12"/>
  <c r="D162" i="12"/>
  <c r="D170" i="12"/>
  <c r="D169" i="12"/>
  <c r="D165" i="12"/>
  <c r="D164" i="12"/>
  <c r="D168" i="12"/>
  <c r="D166" i="12"/>
  <c r="D149" i="12"/>
  <c r="D151" i="12"/>
  <c r="D150" i="12"/>
  <c r="D148" i="12"/>
  <c r="D147" i="12"/>
  <c r="D146" i="12"/>
  <c r="D145" i="12"/>
  <c r="D144" i="12"/>
  <c r="D152" i="12"/>
  <c r="D143" i="12"/>
  <c r="D141" i="12"/>
  <c r="D142" i="12"/>
  <c r="D140" i="12"/>
  <c r="D139" i="12"/>
  <c r="D138" i="12"/>
  <c r="D137" i="12"/>
  <c r="D136" i="12"/>
  <c r="D135" i="12"/>
  <c r="D134" i="12"/>
  <c r="D133" i="12"/>
  <c r="D132" i="12"/>
  <c r="D131" i="12"/>
  <c r="D171" i="12"/>
  <c r="D158" i="12"/>
  <c r="D157" i="12"/>
  <c r="D156" i="12"/>
  <c r="D155" i="12"/>
  <c r="D153" i="12"/>
  <c r="D126" i="12"/>
  <c r="D124" i="12"/>
  <c r="D122" i="12"/>
  <c r="D161" i="12" l="1"/>
  <c r="A12" i="12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D9" i="12" l="1"/>
</calcChain>
</file>

<file path=xl/sharedStrings.xml><?xml version="1.0" encoding="utf-8"?>
<sst xmlns="http://schemas.openxmlformats.org/spreadsheetml/2006/main" count="174" uniqueCount="174">
  <si>
    <t>№ п/п</t>
  </si>
  <si>
    <t>ВСЕГО:</t>
  </si>
  <si>
    <t>Реконструкция берегоукрепительных сооружений санатория "Пионер" в поселке городского типа Симеиз, Республика Крым</t>
  </si>
  <si>
    <t>Реконструкция берегоукрепительных сооружений государственного автономного учреждения Республики Крым "Учебно-научный центр Республики Крым по экологии и природным ресурсам"</t>
  </si>
  <si>
    <t>Строительство гидротехнических сооружений гидроузла Феодосийского водохранилища, Республика Крым</t>
  </si>
  <si>
    <t>Строительство разводящих сетей газопровода среднего давления, Республика Крым, Черноморский р-н, с.Оленевка</t>
  </si>
  <si>
    <t>Строительство дошкольного учреждения на 260 мест в районе ул. Беспалова в г. Симферополе</t>
  </si>
  <si>
    <t>Строительство детской дошкольной образовательной организации на 260 мест в г. Судак</t>
  </si>
  <si>
    <t>Строительство дошкольной образовательной организации на 350 мест г. Старый Крым, Кировский район</t>
  </si>
  <si>
    <t>Строительство дошкольной образовательной организации в п. Советском Советского района на 300 мест</t>
  </si>
  <si>
    <t>Строительство общеобразовательной школы в микрорайоне Челноковского массива в г. Феодосия на 800 мест</t>
  </si>
  <si>
    <t xml:space="preserve">Строительство учебных корпусов для муниципального бюджетного общеобразовательного учреждения «Кировская общеобразовательная школа №1» Кировского района Республики Крым </t>
  </si>
  <si>
    <t>Строительство Крымского государственного  центра детского театрального искусства</t>
  </si>
  <si>
    <t>Строительство двух 160 квартирных жилых домов в п. Гвардейское Симферопольского района</t>
  </si>
  <si>
    <t>Реконструкция разводящих сетей в 
г. Керчи, Республика Крым</t>
  </si>
  <si>
    <t>Строительство общеобразовательной школы в 
г. Судак</t>
  </si>
  <si>
    <t>Строительство общеобразовательной школы в 
с. Заречное, Симферопольского района</t>
  </si>
  <si>
    <t>Строительство 168 квартирного жилого дома по ул. Мира в г. Бахчисарае</t>
  </si>
  <si>
    <t>Строительство биологических очистных сооружений с системой разводящих коллекторов, Республика Крым, 
Черноморский р-н, с.Оленевка</t>
  </si>
  <si>
    <t xml:space="preserve">Завершение строительства Нежинского, Просторненского и Новогригорьевского водозаборов. Корректировка проектов "Новое строительство (бурение) разведочно-эксплуатационных скважин Нежинского водозабора", "Новое строительство (бурение) разведочно-эксплуатационных скважин Просторненского водозабора", "Новое строительство (бурение) разведочно-эксплуатационных скважин Новогригорьевского водозабора", "Строительство Нежинского водозабора, I и II этапы", "Строительство Новогригорьевского водозабора, I и II этапы", "Строительство Просторненского водозабора, I и II этапы"                                                                                                     </t>
  </si>
  <si>
    <t>Реконструкция тоннельного водовода Южного берега Крыма, Республика Крым</t>
  </si>
  <si>
    <t>Строительство дошкольной образовательной организации в  с. Перекоп г. Армянска Республики Крым на 150 мест по ул. Театральная</t>
  </si>
  <si>
    <t>Строительство 72-х квартирного жилого дома пос. Приморский  г. Феодосия</t>
  </si>
  <si>
    <t xml:space="preserve">Строительство детского сада - ясли на 120 мест в микрорайоне Новониколаевский г. Симферополя </t>
  </si>
  <si>
    <t>Строительство детского дошкольного учреждения в с. Дачное, г. Судак</t>
  </si>
  <si>
    <t>Строительство дошкольной образовательной организации в с. Морское на 140 мест, г. Судак</t>
  </si>
  <si>
    <t>Строительство общеобразовательной школы на 500 мест в микрорайоне «Новониколаевский» г. Симферополь</t>
  </si>
  <si>
    <t>Строительство общеобразовательной школы  в микрорайоне № 8 г. Евпатория</t>
  </si>
  <si>
    <t>Строительство общеобразовательной школы на 500 мест в микрорайоне «Марьино» г. Симферополь</t>
  </si>
  <si>
    <t xml:space="preserve">Строительство муниципального бюджетного учреждения «Укромновская школа» в с. Укромное Симферопольского района на 600 мест </t>
  </si>
  <si>
    <t>Строительство общеобразовательной школы на 250 мест в с. Веселое, г. Судак</t>
  </si>
  <si>
    <t>Многопрофильный республиканский медицинский центр государственное бюджетное учреждение здравоохранения Республики Крым "Крымская республиканская клиническая больница имени Н.А.Семашко", г. Симферополь</t>
  </si>
  <si>
    <t>Строительство общеобразовательной школы на 600 учащихся по ул. Мира в г. Бахчисарае</t>
  </si>
  <si>
    <t>Строительство дошкольной образовательной организации на 140 мест в микрорайоне Янъы-Маале г. Судака</t>
  </si>
  <si>
    <t>Строительство 162 квартирного жилого дома с пристроенными помещениями по ул. 60 лет Октября (поз. по ГП-7,7а,7б) мкр. Фонтаны в г. Симферополе</t>
  </si>
  <si>
    <t>Строительство 72 квартирного жилого дома по ул. Проезжей, №73 в г. Джанкое</t>
  </si>
  <si>
    <t>Строительство сетей электроснабжения  
микрорайона "Луговое-2" г. Симферополь</t>
  </si>
  <si>
    <t xml:space="preserve">Строительство 72 квартирного жилого дома в г.Красноперекопск </t>
  </si>
  <si>
    <t>Строительство внешних сетей водоснабжения ул. Тепличная, Полевая в с. Фонтаны-4 Симферопольского района.</t>
  </si>
  <si>
    <t>Строительство Центра полиэтнической культуры молодежи при РВУЗ «КИПУ» в г. Симферополь (1-й пусковой комплекс – Главный корпус). I очередь 1-й пусковой комплекс. Главный корпус</t>
  </si>
  <si>
    <t>Реконструкция системы обеззараживания Изобильненских водопроводных очистных сооружений г. Алушта, Республика Крым</t>
  </si>
  <si>
    <t>Реконструкция площадки резервуаров чистой воды "Маршала Жукова" в г.Симферополе, Республика Крым</t>
  </si>
  <si>
    <t>Строительство систем водоснабжения и водоотведения в районах "Карантин" и "Форштадт" в г. Феодосии</t>
  </si>
  <si>
    <t>Строительство автоматизированной системы управления технологическим процессом подачи и распределения воды филиалов ГУП РК "Вода Крыма" (г. Алушта, г. Бахчисарай, г. Белогорск, г. Джанкой, г. Керчь, г. Красноперекопск; г. Саки, г.Симферополь, г. Судак, г. Феодосия)</t>
  </si>
  <si>
    <t>Строительство 2-го резервуара чистой воды объемом 1 тыс. куб. м в зоне резервуара чистой воды № 2 в г. Ялте, Республика Крым</t>
  </si>
  <si>
    <t>Строительство резервуара чистой воды "Артековские новые" в поселке городского типа Гурзуф общим объемом 3 тыс. куб. м, Республика Крым</t>
  </si>
  <si>
    <t>Реконструкция магистрального водовода Фронтовое - водопроводных очистных сооружений г. Феодосии, Республика Крым</t>
  </si>
  <si>
    <t>Строительство водовода от Ивановского водозабора до водоочистных сооружений Межгорного гидроузла, Республика Крым</t>
  </si>
  <si>
    <t>Реконструкция канализационных очистных сооружений "Утес" в с. Малый Маяк, Республика Крым</t>
  </si>
  <si>
    <t>Реконструкция системы водоотведения хозяйственно-бытовых сточных вод с. Малореченское городского округа Алушта Республики Крым</t>
  </si>
  <si>
    <t>Реконструкция канализационных очистных сооружений и глубоководного выпуска в поселке городского типа Орджоникидзе, Республика Крым</t>
  </si>
  <si>
    <t>Реконструкция системы водоотведения пгт. Новофедоровка Сакского района Республики Крым</t>
  </si>
  <si>
    <t>Реконструкция системы подачи канализационных стоков г. Судака</t>
  </si>
  <si>
    <t>Строительство канализационных очистных сооружений с глубоководным выпуском в море в пос. Кацивели, г. Ялта, Республика Крым</t>
  </si>
  <si>
    <t>Строительство газопровода с.Войково-с.Курортное, Республика Крым, Ленинский р-н</t>
  </si>
  <si>
    <t>Строительство очистных сооружений с системой разводящих коллекторов, Республика Крым, Ленинский р-н, с.Курортное</t>
  </si>
  <si>
    <t>Строительство очистных сооружений с системой разводящих коллекторов (в т.ч. канализационных сетей), пгт. Коктебель, Республика Крым</t>
  </si>
  <si>
    <t>Строительство водовода в пгт. Орджоникидзе, г. Феодосия, Республика Крым</t>
  </si>
  <si>
    <t>Реконструкция набережной в пгт. Коктебель, г. Феодосия, Республика Крым</t>
  </si>
  <si>
    <t>Строительство 72 квартирного жилого дома в мкр.Новониколаевский г.Симферополь</t>
  </si>
  <si>
    <t>Строительство 72 квартирного жилого дома в с. Орехово Сакского района</t>
  </si>
  <si>
    <t>Строительство 36 квартирного жилого дома в мкр.Новониколаевский г.Симферополь</t>
  </si>
  <si>
    <t>Строительство 36 квартирного жилого дома в г.Саки</t>
  </si>
  <si>
    <t>Строительство сетей водоснабжения 2-ой очереди с.Строгановка Симферопольского района</t>
  </si>
  <si>
    <t>Строительство сетей водоснабжения п.Айкаван Симферопольского района</t>
  </si>
  <si>
    <t>Строительство дошкольной образовательной организации на 260 мест  в г. Симферополе (объект №1)</t>
  </si>
  <si>
    <t>Строительство дошкольной образовательной организации на 260 мест в г. Симферополе (объект №2)</t>
  </si>
  <si>
    <t>Реконструкция берегоукрепительных сооружений в поселке городского типа Приморский, г.Феодосия, Республика Крым</t>
  </si>
  <si>
    <t>Строительство берегоукрепительных сооружений на р. Альма</t>
  </si>
  <si>
    <t>Строительство берегоукрепительных сооружений на р. Кача</t>
  </si>
  <si>
    <t>Реконструкция и расчистка Кутузовского водохранилища, Республика Крым</t>
  </si>
  <si>
    <t>Реконструкция насосной станции № 16,  Феодосийское водохранилище, Республика Крым</t>
  </si>
  <si>
    <t>Строительство защитных гидротехнических сооружений для защиты от подтопления, с. Приозерное Ленинского района, Республики Крым</t>
  </si>
  <si>
    <t>Заходы на ВЛ 110 кВ и 330 кВ для подключения Симферопольской ПГУ - ТЭС, прочие мероприятия схемы выдачи мощности Симферопольской ПГУ-ТЭС</t>
  </si>
  <si>
    <t>Индустриальный парк "Феодосия", Республика Крым</t>
  </si>
  <si>
    <t>Индустриальный парк "Бахчисарай", Республика Крым</t>
  </si>
  <si>
    <t>Строительство и реконструкция автомобильной дороги Керчь — Феодосия — Белогорск — Симферополь — Бахчисарай — Севастополь (граница Бахчисарайского района)</t>
  </si>
  <si>
    <t>Строительство и реконструкция автомобильной дороги Симферополь-Евпатория-Мирный</t>
  </si>
  <si>
    <t>Строительство транспортной развязки на пересечении автомобильной дороги Симферополь – Евпатория и автомобильной дороги Симферополь – Мирное — Дубки</t>
  </si>
  <si>
    <t>Строительство нового участка автомобильной дороги 35 ОП МЗ 35Н-336 Керчь - Чистополье - Новоотрадное на участке пересечения с железнодорожным подходом к мосту через Керченский пролив</t>
  </si>
  <si>
    <t>Строительство транспортной развязки в разных уровнях с реконструкцией путепровода по шоссе Героев Сталинграда, г. Керчь</t>
  </si>
  <si>
    <t>Строительство автодороги с.Войково-с.Курортное-о.Чокрак, Республика Крым, Ленинский р-н</t>
  </si>
  <si>
    <t>Реконструкция автомобильных дорог в с.Оленевка, Республика Крым, Черноморский район</t>
  </si>
  <si>
    <t xml:space="preserve">Строительство 72 квартирного жилого дома в с.Малый Маяк  г. Алушта </t>
  </si>
  <si>
    <t xml:space="preserve">Строительство пешеходного перехода в разных уровнях на км 664 автомобильной дороги Харьков-Симферополь-Алушта-Ялта </t>
  </si>
  <si>
    <t xml:space="preserve">Строительство пешеходного перехода в разных уровнях на км 674 автомобильной дороги Харьков-Симферополь-Алушта-Ялта </t>
  </si>
  <si>
    <t xml:space="preserve">Строительство пешеходного перехода в разных уровнях на км 679 автомобильной дороги Харьков-Симферополь-Алушта-Ялта </t>
  </si>
  <si>
    <t>Строительство автомобильной дороги Белое-5 Ана-Юрт-Айкаван, Симферопольский район</t>
  </si>
  <si>
    <t>Реконструкция автомобильной дороги на гору Клементьева Феодосийский район, Республики Крым</t>
  </si>
  <si>
    <t>Строительство электроподстанции 100 кВ, сетей электроснабжения и трансформаторных подстанции (пунктов) в районе с. Курортное, Республика Крым, Ленинский р-н</t>
  </si>
  <si>
    <t>Реконструкция водовода Феодосия-Судак</t>
  </si>
  <si>
    <t>Строительство дорог с твердым покрытием мкр. Исмаил -Бей</t>
  </si>
  <si>
    <t xml:space="preserve">Строительство дошкольной образовательной организации в с. Победное на 150 мест по ул. Победы 32а Джанкойского района </t>
  </si>
  <si>
    <t>Строительство дошкольной образовательной организации в с. Новосельское на 200 мест по ул. Ленина Черноморского района</t>
  </si>
  <si>
    <t>Строительство дошкольной образовательной организации Бахчисарайский район с. Красный Мак на 120 мест</t>
  </si>
  <si>
    <t>Строительство и реконструкци автомобильной дороги Симферополь-Красноперекопск-Армянск-граница с Украиной км 108+000-км 111+000</t>
  </si>
  <si>
    <t>Наименование объекта</t>
  </si>
  <si>
    <t>Сумма</t>
  </si>
  <si>
    <t>Проектирование и строительство тракта водоподачи от сбросов в Северо-Крымский канал до г. Феодосии и г. Керчи (2-й этап)</t>
  </si>
  <si>
    <t>I. Осуществление бюджетных инвестиций в объекты капитального строительства государственной собственности Республики Крым</t>
  </si>
  <si>
    <t>II. Предоставление субсидий государственным бюджетным, государственным автономным учреждениям Республики Крым и государственным унитарным предприятиям Республики Крым на осуществление капитальных вложений в объекты капитального строительства государственной собственности Республики Крым</t>
  </si>
  <si>
    <t>Строительство сетей газоснабжения с. Николаевка Советского района Республики Крым</t>
  </si>
  <si>
    <t>Газопроводы высокого и среднего давления для газификации г. Белогорска, третья очередь строительства</t>
  </si>
  <si>
    <t>Подводящий газопровод к с. Криничное Белогорского района Республики Крым</t>
  </si>
  <si>
    <t>Строительство газопроводов низкого давления для газификации г.Белогорска от второй очереди строительства, 1 этап</t>
  </si>
  <si>
    <t xml:space="preserve">Газопроводы уличных сетей с.Гришино Первомайского района Республики Крым </t>
  </si>
  <si>
    <t xml:space="preserve">Строительство уличных сетей 
с. Некрасовка Советского района Республики Крым
</t>
  </si>
  <si>
    <t>Строительство общеобразовательной школы в г. Керчь</t>
  </si>
  <si>
    <t>Строительство сетей канализации по ул. Усейн-Заде - А. Дагджи - С. Ислямова, мкр. Каменка, г. Симферополь</t>
  </si>
  <si>
    <t>Строительство жилого дома в г.Керчи</t>
  </si>
  <si>
    <t>Берегоукрепительные и противооползневые сооружения территории, прилегающей к храму-маяку св.Николая в с.Малореченское, г.Алушта</t>
  </si>
  <si>
    <t>Берегоукрепительные сооружения Государственного Никитского ботанического сада на участке от м.Монтодор до мыса Мартьян посёлка городского типа Массандра, Республика Крым</t>
  </si>
  <si>
    <t>к Закону Республики Крым</t>
  </si>
  <si>
    <t>Бюджетные ассигнования на осуществление бюджетных инвестиций и предоставление государственным бюджетным и автономным учреждениям Республики Крым, унитарным предприятиям Республики Крым субсидий на осуществление капитальных вложений в объекты государственной собственности Республики Крым, софинансирование капитальных вложений в которые осуществляется за счет межбюджетных субсидий из федерального бюджета на 2019 годы</t>
  </si>
  <si>
    <t>Берегоукрепительные сооружения в поселке городского типа Симеиз, Республика Крым</t>
  </si>
  <si>
    <t>Строительство объездной дороги в районе пгт.Коктебель, г.Феодосия, Республика Крым</t>
  </si>
  <si>
    <t>Строительство дорог с твердым покрытием мкр. Каменка г.Симферополь</t>
  </si>
  <si>
    <t>Строительство дорог с твердым покрытием мкр. Хошкельды г.Симферополь</t>
  </si>
  <si>
    <t>Строительство дорог с твердым покрытием мкр. Марьино г.Симферополь</t>
  </si>
  <si>
    <t>Строительство дорог с твердым покрытием с. Родниковое (Темелли) Симферопольского района</t>
  </si>
  <si>
    <t>Строительство дорог с твердым покрытием мкр. Молодежное Симферопольского района</t>
  </si>
  <si>
    <t>Строительство и реконструкция объектов портовой инфраструктуры морского порта г.Евпатории</t>
  </si>
  <si>
    <t>Строительство и реконструкция объектов портовой инфраструктуры морского порта г.Феодосии</t>
  </si>
  <si>
    <t>Реконструкция гидротехнических сооружений гидроузла Фронтового водохранилища, Республики Крым</t>
  </si>
  <si>
    <t>Строительство регулируемого перепускного сооружения и реконструкция участков разделительной дамбы озера Сасык-Сиваш, Республика Крым</t>
  </si>
  <si>
    <t>Строительство берегоукрепительных сооружений на р. Бодрак</t>
  </si>
  <si>
    <t>Реконструкция канализационных очистных сооружений в пос. Миндальное городского округа Судак с доведением мощности до 15 тыс. куб. м/сутки, Республика Крым</t>
  </si>
  <si>
    <t xml:space="preserve">Строительство дошкольной образовательной организации в с. Амурское на 280 мест по ул. Молодежная Красногвардейского района </t>
  </si>
  <si>
    <t xml:space="preserve">Строительство дошкольной образовательной организации в пгт. Черноморское на 200 мест по ул.Павленко Черноморского района </t>
  </si>
  <si>
    <t>Строительство дошкольной образовательной организации на 240 мест, пгт.Почтовое, Бахчисарайского района</t>
  </si>
  <si>
    <t>Строительство дошкольной образовательной организации на 260 мест, а 4-м микрорайоне по адресу г.Алушта мкр.№4</t>
  </si>
  <si>
    <t>Строительство дошкольной образовательной организации на 150 мест, г.Феодосия, п. Коктебель</t>
  </si>
  <si>
    <t>Строительство дошкольной образовательной организации в пгт.Вольное на 150 мест по пр-кт Октябрьский,27 Джанкойского района</t>
  </si>
  <si>
    <t>Строительство дошкольного образовательного учреждения в Зуйском сельском поселении с. Литвиненково на 80 мест по ул. Солнечная Белогорского района</t>
  </si>
  <si>
    <t xml:space="preserve">Строительство дошкольной образовательной организации в с. Пионерское на 160 мест </t>
  </si>
  <si>
    <t>Строительство дошкольного образовательного учреждения на 160 мест в г. Белогорске, мкр. Сары-Су, ул. Муссы Мамута 1а Белогорский района</t>
  </si>
  <si>
    <t>Строительство дошкольной образовательной организации в с.Лобаново на 240 мест по пер.Заводской,2  Джанкойского района</t>
  </si>
  <si>
    <t>Строительство дошкольной образовательной организации в с.Мирновка на 240 мест по ул.Интернациональная Джанкойского района</t>
  </si>
  <si>
    <t xml:space="preserve">Строительство дошкольной образовательной организации на 260 мест в г.Симферополе </t>
  </si>
  <si>
    <t>Строительство дошкольной образовательной организации в г.Джанкой на 350 мест по ул. Крымская</t>
  </si>
  <si>
    <t>Строительство общеобразовательной школы в микрорайоне «Луговое» г. Симферополь</t>
  </si>
  <si>
    <t>Строительство дошкольной образовательной организации на 135 мест микрорайон Исмаил-Бей г. Евпатория</t>
  </si>
  <si>
    <t>Строительство дошкольной образовательной организации на 100 мест с.Трёхпрудное Симферопольского района</t>
  </si>
  <si>
    <t>Строительство общеобразовательной школы на 480 учащихся в мкрн. Исмаил-Бей г.Евпатория</t>
  </si>
  <si>
    <t>Строительство 72 квартирного жилого дома г. Керчи</t>
  </si>
  <si>
    <t>Строительство 48 квартирного жилого дома г.Старый Крым</t>
  </si>
  <si>
    <t>Строительство сетей водоснабжения ул. Кунешли с. Левадки Симферопольского района.</t>
  </si>
  <si>
    <t xml:space="preserve">Строительство сетей канализации в мкр. Ак-Мечеть г.Симферополь </t>
  </si>
  <si>
    <t>Строительство сетей газоснабжения Белое-4А г.Симферополь</t>
  </si>
  <si>
    <t>Строительство сетей газоснабжения п. Акрополис Симферопольского района</t>
  </si>
  <si>
    <t>Строительство сетей электроснабжения массива Буки в с.Доброе Симферопольского района</t>
  </si>
  <si>
    <t xml:space="preserve">Строительство сетей электроснабжения мкр. Челнокова Греческий квартал г. Феодосия </t>
  </si>
  <si>
    <t>Строительство сетей канализации в с.Изобильное города Алушта</t>
  </si>
  <si>
    <t>Строительство сетей газоснабжения пос. Асрет г. Судак</t>
  </si>
  <si>
    <t>Строительство сетей газоснабжения мкр. Алчак по ул. Восточное шоссе г. Судак</t>
  </si>
  <si>
    <t>Строительство сетей водоснабжения массива Ласпи с. Доброе Симферопольского района.</t>
  </si>
  <si>
    <t>Строительство сетей водоснабжения микрорайона по ул. Беспалова г. Симферополь</t>
  </si>
  <si>
    <t>Строительство сетей электроснабжения массива Васиет с. Строгановка Симферопольского района.</t>
  </si>
  <si>
    <t>Строительство сетей электроснабжения на массивах "Западный район" и "Южный район" с.Левадки Симферопольского района.</t>
  </si>
  <si>
    <t>Строительство сетей водоснабжения в кварталах "Гаспринского", "Ана-Эли" с.Урожайное Симферопольского района</t>
  </si>
  <si>
    <t>Строительство сетей канализации в пгт. Никита г.Ялта</t>
  </si>
  <si>
    <t>Строительство сетей водоснабжения мкр. Челнокова Греческий квартал г. Феодосия.</t>
  </si>
  <si>
    <t>Строительство наружних сетей газоснабжения мкр. Челнокова</t>
  </si>
  <si>
    <r>
      <t xml:space="preserve">   </t>
    </r>
    <r>
      <rPr>
        <sz val="14"/>
        <rFont val="Times New Roman"/>
        <family val="1"/>
        <charset val="204"/>
      </rPr>
      <t>(рублей)</t>
    </r>
  </si>
  <si>
    <t>Строительство дошкольной образовательной организации в г. Джанкой на 260 мест по ул. Московской</t>
  </si>
  <si>
    <t>Строительство основного зала государственного бюджетного образовательного учреждения дополнительного образования Республики Крым "Международный центр театрального искусства «Золотой ключик» - дворца фестивалей и конгрессов, Республика Крым, г.Евпатория</t>
  </si>
  <si>
    <t>Реконструкция с элементами реставрации государственного бюджетного образовательного учреждения дополнительного образования Республики Крым "Международный центр театрального искусства «Золотой ключик», Республика Крым, г. Евпатория</t>
  </si>
  <si>
    <t>Реконструкция объектов «Государственное бюджетное учреждение Республики Крым «Центр спортивной подготовки сборных команд Республики Крым»</t>
  </si>
  <si>
    <t>Реконструкция объектов ГБПОУ «Крымское среднее  профессиональное училище (техникум) олимпийского резерва»</t>
  </si>
  <si>
    <t>Строительство общеобразовательной школы на 704 места в г.Керчь Республики Крым</t>
  </si>
  <si>
    <t>Общеобразовательная  школа на 1100 мест в микрорайоне "Жигулина роща" в с. Мирное Симферопольского района Республики Крым</t>
  </si>
  <si>
    <t xml:space="preserve"> и на плановый период 2020 и 2021 годов"</t>
  </si>
  <si>
    <t>"О бюджете Республики Крым на 2019 год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</si>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</sst>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5" fillId="0" borderId="0"/>
  </cellStyleXfs>
  <cellXfs count="53">
    <xf numFmtId="0" fontId="0" fillId="0" borderId="0" xfId="0"/>
    <xf numFmtId="49" fontId="6" fillId="2" borderId="0" xfId="2" applyNumberFormat="1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  <xf numFmtId="49" fontId="6" fillId="2" borderId="0" xfId="2" applyNumberFormat="1" applyFont="1" applyFill="1" applyBorder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/>
    </xf>
    <xf numFmtId="4" fontId="6" fillId="2" borderId="0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0" applyFont="1" applyFill="1"/>
    <xf numFmtId="4" fontId="6" fillId="2" borderId="1" xfId="2" applyNumberFormat="1" applyFont="1" applyFill="1" applyBorder="1" applyAlignment="1">
      <alignment horizontal="left" vertical="center" wrapText="1"/>
    </xf>
    <xf numFmtId="4" fontId="6" fillId="2" borderId="0" xfId="1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Alignment="1">
      <alignment horizontal="center"/>
    </xf>
    <xf numFmtId="0" fontId="7" fillId="2" borderId="0" xfId="0" applyFont="1" applyFill="1" applyAlignment="1"/>
    <xf numFmtId="0" fontId="6" fillId="2" borderId="0" xfId="0" applyFont="1" applyFill="1" applyBorder="1"/>
    <xf numFmtId="0" fontId="7" fillId="2" borderId="0" xfId="0" applyFont="1" applyFill="1"/>
    <xf numFmtId="0" fontId="7" fillId="2" borderId="0" xfId="0" applyFont="1" applyFill="1" applyAlignment="1">
      <alignment wrapText="1"/>
    </xf>
    <xf numFmtId="0" fontId="9" fillId="2" borderId="0" xfId="0" applyFont="1" applyFill="1" applyBorder="1" applyAlignment="1">
      <alignment vertical="center"/>
    </xf>
    <xf numFmtId="0" fontId="7" fillId="2" borderId="0" xfId="0" applyFont="1" applyFill="1" applyBorder="1" applyAlignment="1"/>
    <xf numFmtId="4" fontId="9" fillId="2" borderId="0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/>
    </xf>
    <xf numFmtId="4" fontId="6" fillId="2" borderId="1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/>
    <xf numFmtId="0" fontId="7" fillId="2" borderId="0" xfId="0" applyFont="1" applyFill="1" applyBorder="1"/>
    <xf numFmtId="4" fontId="7" fillId="2" borderId="0" xfId="0" applyNumberFormat="1" applyFont="1" applyFill="1" applyBorder="1"/>
    <xf numFmtId="0" fontId="6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2" applyNumberFormat="1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164" fontId="6" fillId="2" borderId="1" xfId="2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2" fontId="6" fillId="2" borderId="1" xfId="8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4" fontId="6" fillId="2" borderId="2" xfId="2" applyNumberFormat="1" applyFont="1" applyFill="1" applyBorder="1" applyAlignment="1">
      <alignment horizontal="left"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2" fontId="6" fillId="2" borderId="2" xfId="8" applyNumberFormat="1" applyFont="1" applyFill="1" applyBorder="1" applyAlignment="1">
      <alignment horizontal="left" vertical="center" wrapText="1"/>
    </xf>
    <xf numFmtId="4" fontId="6" fillId="2" borderId="4" xfId="2" applyNumberFormat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/>
    </xf>
    <xf numFmtId="2" fontId="6" fillId="2" borderId="2" xfId="1" applyNumberFormat="1" applyFont="1" applyFill="1" applyBorder="1" applyAlignment="1">
      <alignment horizontal="center" vertical="center" wrapText="1"/>
    </xf>
    <xf numFmtId="2" fontId="6" fillId="2" borderId="2" xfId="8" applyNumberFormat="1" applyFont="1" applyFill="1" applyBorder="1" applyAlignment="1">
      <alignment horizontal="center" vertical="center" wrapText="1"/>
    </xf>
    <xf numFmtId="2" fontId="6" fillId="2" borderId="1" xfId="8" applyNumberFormat="1" applyFont="1" applyFill="1" applyBorder="1" applyAlignment="1">
      <alignment horizontal="center" vertical="center" wrapText="1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2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0" fillId="0" borderId="0" xfId="0" applyAlignment="1"/>
  </cellXfs>
  <cellStyles count="10">
    <cellStyle name="Excel Built-in Normal" xfId="4"/>
    <cellStyle name="TableStyleLight1" xfId="3"/>
    <cellStyle name="Обычный" xfId="0" builtinId="0"/>
    <cellStyle name="Обычный 2" xfId="6"/>
    <cellStyle name="Обычный 2 3" xfId="9"/>
    <cellStyle name="Обычный 2 6" xfId="7"/>
    <cellStyle name="Обычный 3" xfId="5"/>
    <cellStyle name="Обычный 4" xfId="2"/>
    <cellStyle name="Обычный 5" xfId="8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206"/>
  <sheetViews>
    <sheetView tabSelected="1" view="pageBreakPreview" zoomScale="85" zoomScaleNormal="55" zoomScaleSheetLayoutView="85" workbookViewId="0">
      <selection activeCell="A5" sqref="A5:D5"/>
    </sheetView>
  </sheetViews>
  <sheetFormatPr defaultColWidth="9.109375" defaultRowHeight="18" x14ac:dyDescent="0.35"/>
  <cols>
    <col min="1" max="1" width="7.88671875" style="11" customWidth="1"/>
    <col min="2" max="2" width="7.88671875" style="11" hidden="1" customWidth="1"/>
    <col min="3" max="3" width="63.88671875" style="27" customWidth="1"/>
    <col min="4" max="4" width="28.109375" style="14" customWidth="1"/>
    <col min="5" max="5" width="42.6640625" style="16" bestFit="1" customWidth="1"/>
    <col min="6" max="6" width="37.44140625" style="16" bestFit="1" customWidth="1"/>
    <col min="7" max="7" width="30.44140625" style="16" bestFit="1" customWidth="1"/>
    <col min="8" max="8" width="31.33203125" style="16" bestFit="1" customWidth="1"/>
    <col min="9" max="9" width="56" style="16" customWidth="1"/>
    <col min="10" max="10" width="25.44140625" style="16" customWidth="1"/>
    <col min="11" max="11" width="23.88671875" style="16" customWidth="1"/>
    <col min="12" max="12" width="9.109375" style="16" customWidth="1"/>
    <col min="13" max="16384" width="9.109375" style="11"/>
  </cols>
  <sheetData>
    <row r="1" spans="1:12" x14ac:dyDescent="0.35">
      <c r="A1" s="51" t="s">
        <v>173</v>
      </c>
      <c r="B1" s="52"/>
      <c r="C1" s="52"/>
      <c r="D1" s="52"/>
      <c r="E1" s="15"/>
      <c r="F1" s="15"/>
      <c r="G1" s="15"/>
    </row>
    <row r="2" spans="1:12" x14ac:dyDescent="0.35">
      <c r="A2" s="51" t="s">
        <v>112</v>
      </c>
      <c r="B2" s="52"/>
      <c r="C2" s="52"/>
      <c r="D2" s="52"/>
      <c r="E2" s="15"/>
      <c r="F2" s="15"/>
      <c r="G2" s="15"/>
    </row>
    <row r="3" spans="1:12" x14ac:dyDescent="0.35">
      <c r="A3" s="51" t="s">
        <v>172</v>
      </c>
      <c r="B3" s="52"/>
      <c r="C3" s="52"/>
      <c r="D3" s="52"/>
      <c r="E3" s="15"/>
      <c r="F3" s="15"/>
      <c r="G3" s="15"/>
    </row>
    <row r="4" spans="1:12" x14ac:dyDescent="0.35">
      <c r="A4" s="51" t="s">
        <v>171</v>
      </c>
      <c r="B4" s="52"/>
      <c r="C4" s="52"/>
      <c r="D4" s="52"/>
      <c r="E4" s="15"/>
      <c r="F4" s="15"/>
      <c r="G4" s="15"/>
    </row>
    <row r="5" spans="1:12" ht="143.25" customHeight="1" x14ac:dyDescent="0.35">
      <c r="A5" s="50" t="s">
        <v>113</v>
      </c>
      <c r="B5" s="50"/>
      <c r="C5" s="50"/>
      <c r="D5" s="50"/>
      <c r="E5" s="18"/>
      <c r="F5" s="18"/>
      <c r="G5" s="18"/>
    </row>
    <row r="6" spans="1:12" x14ac:dyDescent="0.35">
      <c r="B6" s="19"/>
      <c r="C6" s="20"/>
      <c r="D6" s="21" t="s">
        <v>163</v>
      </c>
      <c r="E6" s="20"/>
      <c r="F6" s="20"/>
      <c r="G6" s="20"/>
    </row>
    <row r="7" spans="1:12" x14ac:dyDescent="0.35">
      <c r="A7" s="48" t="s">
        <v>0</v>
      </c>
      <c r="B7" s="28"/>
      <c r="C7" s="48" t="s">
        <v>96</v>
      </c>
      <c r="D7" s="49" t="s">
        <v>97</v>
      </c>
      <c r="E7" s="1"/>
      <c r="F7" s="2"/>
      <c r="G7" s="2"/>
      <c r="H7" s="2"/>
      <c r="I7" s="2"/>
      <c r="J7" s="2"/>
      <c r="K7" s="2"/>
      <c r="L7" s="2"/>
    </row>
    <row r="8" spans="1:12" s="22" customFormat="1" x14ac:dyDescent="0.35">
      <c r="A8" s="48"/>
      <c r="B8" s="28"/>
      <c r="C8" s="48"/>
      <c r="D8" s="49"/>
      <c r="E8" s="3"/>
      <c r="F8" s="4"/>
      <c r="G8" s="4"/>
      <c r="H8" s="4"/>
      <c r="I8" s="4"/>
      <c r="J8" s="4"/>
      <c r="K8" s="2"/>
      <c r="L8" s="2"/>
    </row>
    <row r="9" spans="1:12" s="22" customFormat="1" x14ac:dyDescent="0.35">
      <c r="A9" s="5"/>
      <c r="B9" s="5"/>
      <c r="C9" s="6" t="s">
        <v>1</v>
      </c>
      <c r="D9" s="41">
        <f>+D10+D161</f>
        <v>79774322700</v>
      </c>
      <c r="E9" s="13"/>
      <c r="F9" s="4"/>
      <c r="G9" s="7"/>
      <c r="H9" s="4"/>
      <c r="I9" s="4"/>
      <c r="J9" s="4"/>
      <c r="K9" s="2"/>
      <c r="L9" s="2"/>
    </row>
    <row r="10" spans="1:12" s="22" customFormat="1" ht="54" x14ac:dyDescent="0.35">
      <c r="A10" s="5"/>
      <c r="B10" s="5"/>
      <c r="C10" s="8" t="s">
        <v>99</v>
      </c>
      <c r="D10" s="41">
        <f>SUM(D11:D160)</f>
        <v>78734198000</v>
      </c>
      <c r="E10" s="13"/>
      <c r="F10" s="4"/>
      <c r="G10" s="7"/>
      <c r="H10" s="4"/>
      <c r="I10" s="4"/>
      <c r="J10" s="4"/>
      <c r="K10" s="2"/>
      <c r="L10" s="2"/>
    </row>
    <row r="11" spans="1:12" ht="234" x14ac:dyDescent="0.35">
      <c r="A11" s="9">
        <v>1</v>
      </c>
      <c r="B11" s="9">
        <v>1</v>
      </c>
      <c r="C11" s="29" t="s">
        <v>19</v>
      </c>
      <c r="D11" s="41">
        <f>6330000+120400000</f>
        <v>126730000</v>
      </c>
      <c r="E11" s="13"/>
      <c r="F11" s="7"/>
      <c r="G11" s="4"/>
      <c r="H11" s="4"/>
      <c r="I11" s="4"/>
      <c r="J11" s="4"/>
      <c r="K11" s="4"/>
      <c r="L11" s="4"/>
    </row>
    <row r="12" spans="1:12" ht="54" x14ac:dyDescent="0.35">
      <c r="A12" s="10">
        <f>A11+1</f>
        <v>2</v>
      </c>
      <c r="B12" s="10">
        <v>1</v>
      </c>
      <c r="C12" s="30" t="s">
        <v>98</v>
      </c>
      <c r="D12" s="41">
        <f>310000000+5890000000</f>
        <v>6200000000</v>
      </c>
      <c r="E12" s="13"/>
      <c r="F12" s="7"/>
      <c r="G12" s="31"/>
      <c r="H12" s="31"/>
      <c r="I12" s="31"/>
      <c r="J12" s="31"/>
      <c r="K12" s="31"/>
      <c r="L12" s="31"/>
    </row>
    <row r="13" spans="1:12" ht="36" x14ac:dyDescent="0.35">
      <c r="A13" s="10">
        <f t="shared" ref="A13:A76" si="0">A12+1</f>
        <v>3</v>
      </c>
      <c r="B13" s="10">
        <v>2</v>
      </c>
      <c r="C13" s="30" t="s">
        <v>20</v>
      </c>
      <c r="D13" s="41">
        <f>14650000+278460000</f>
        <v>293110000</v>
      </c>
      <c r="E13" s="13"/>
      <c r="F13" s="7"/>
      <c r="G13" s="2"/>
      <c r="H13" s="2"/>
      <c r="I13" s="2"/>
      <c r="J13" s="2"/>
      <c r="K13" s="4"/>
      <c r="L13" s="4"/>
    </row>
    <row r="14" spans="1:12" x14ac:dyDescent="0.35">
      <c r="A14" s="10">
        <f t="shared" si="0"/>
        <v>4</v>
      </c>
      <c r="B14" s="9">
        <v>2</v>
      </c>
      <c r="C14" s="32" t="s">
        <v>90</v>
      </c>
      <c r="D14" s="41">
        <f>92370000+1755030000</f>
        <v>1847400000</v>
      </c>
      <c r="E14" s="13"/>
      <c r="F14" s="7"/>
    </row>
    <row r="15" spans="1:12" ht="36" x14ac:dyDescent="0.35">
      <c r="A15" s="10">
        <f t="shared" si="0"/>
        <v>5</v>
      </c>
      <c r="B15" s="10">
        <v>2</v>
      </c>
      <c r="C15" s="29" t="s">
        <v>14</v>
      </c>
      <c r="D15" s="41">
        <f>7713000+146556000</f>
        <v>154269000</v>
      </c>
      <c r="E15" s="13"/>
      <c r="F15" s="7"/>
      <c r="G15" s="4"/>
      <c r="H15" s="4"/>
      <c r="I15" s="4"/>
      <c r="J15" s="4"/>
      <c r="K15" s="4"/>
      <c r="L15" s="4"/>
    </row>
    <row r="16" spans="1:12" ht="54" x14ac:dyDescent="0.35">
      <c r="A16" s="10">
        <f t="shared" si="0"/>
        <v>6</v>
      </c>
      <c r="B16" s="10">
        <v>2</v>
      </c>
      <c r="C16" s="29" t="s">
        <v>40</v>
      </c>
      <c r="D16" s="41">
        <f>108000+2055000+1630000+30970000</f>
        <v>34763000</v>
      </c>
      <c r="E16" s="13"/>
      <c r="F16" s="7"/>
      <c r="G16" s="4"/>
      <c r="H16" s="4"/>
      <c r="I16" s="4"/>
      <c r="J16" s="4"/>
      <c r="K16" s="4"/>
      <c r="L16" s="4"/>
    </row>
    <row r="17" spans="1:12" ht="36" x14ac:dyDescent="0.35">
      <c r="A17" s="10">
        <f t="shared" si="0"/>
        <v>7</v>
      </c>
      <c r="B17" s="9">
        <v>2</v>
      </c>
      <c r="C17" s="29" t="s">
        <v>41</v>
      </c>
      <c r="D17" s="41">
        <f>132000+2511000+3468000+65886000</f>
        <v>71997000</v>
      </c>
      <c r="E17" s="13"/>
      <c r="F17" s="7"/>
      <c r="G17" s="4"/>
      <c r="H17" s="4"/>
      <c r="I17" s="4"/>
      <c r="J17" s="4"/>
      <c r="K17" s="4"/>
      <c r="L17" s="4"/>
    </row>
    <row r="18" spans="1:12" ht="36" x14ac:dyDescent="0.35">
      <c r="A18" s="10">
        <f t="shared" si="0"/>
        <v>8</v>
      </c>
      <c r="B18" s="10">
        <v>2</v>
      </c>
      <c r="C18" s="29" t="s">
        <v>42</v>
      </c>
      <c r="D18" s="41">
        <f>275000+5225000+6626000+125888000</f>
        <v>138014000</v>
      </c>
      <c r="E18" s="13"/>
      <c r="F18" s="7"/>
      <c r="G18" s="4"/>
      <c r="H18" s="4"/>
      <c r="I18" s="4"/>
      <c r="J18" s="4"/>
      <c r="K18" s="4"/>
      <c r="L18" s="4"/>
    </row>
    <row r="19" spans="1:12" ht="108" x14ac:dyDescent="0.35">
      <c r="A19" s="10">
        <f t="shared" si="0"/>
        <v>9</v>
      </c>
      <c r="B19" s="10"/>
      <c r="C19" s="29" t="s">
        <v>43</v>
      </c>
      <c r="D19" s="41">
        <v>179104000</v>
      </c>
      <c r="E19" s="13"/>
      <c r="F19" s="7"/>
      <c r="G19" s="4"/>
      <c r="H19" s="4"/>
      <c r="I19" s="4"/>
      <c r="J19" s="4"/>
      <c r="K19" s="4"/>
      <c r="L19" s="4"/>
    </row>
    <row r="20" spans="1:12" ht="54" x14ac:dyDescent="0.35">
      <c r="A20" s="10">
        <f t="shared" si="0"/>
        <v>10</v>
      </c>
      <c r="B20" s="9">
        <v>2</v>
      </c>
      <c r="C20" s="29" t="s">
        <v>44</v>
      </c>
      <c r="D20" s="41">
        <f>49000+933000+854000+16207000</f>
        <v>18043000</v>
      </c>
      <c r="E20" s="13"/>
      <c r="F20" s="7"/>
      <c r="G20" s="4"/>
      <c r="H20" s="4"/>
      <c r="I20" s="4"/>
      <c r="J20" s="4"/>
      <c r="K20" s="4"/>
      <c r="L20" s="4"/>
    </row>
    <row r="21" spans="1:12" ht="54" x14ac:dyDescent="0.35">
      <c r="A21" s="10">
        <f t="shared" si="0"/>
        <v>11</v>
      </c>
      <c r="B21" s="10">
        <v>2</v>
      </c>
      <c r="C21" s="29" t="s">
        <v>45</v>
      </c>
      <c r="D21" s="41">
        <f>77000+1457000+1553000+29502000</f>
        <v>32589000</v>
      </c>
      <c r="E21" s="13"/>
      <c r="F21" s="7"/>
      <c r="G21" s="4"/>
      <c r="H21" s="4"/>
      <c r="I21" s="4"/>
      <c r="J21" s="4"/>
      <c r="K21" s="4"/>
      <c r="L21" s="4"/>
    </row>
    <row r="22" spans="1:12" ht="54" x14ac:dyDescent="0.35">
      <c r="A22" s="10">
        <f t="shared" si="0"/>
        <v>12</v>
      </c>
      <c r="B22" s="10">
        <v>2</v>
      </c>
      <c r="C22" s="29" t="s">
        <v>46</v>
      </c>
      <c r="D22" s="41">
        <f>87000+1649000+7313000+138951000</f>
        <v>148000000</v>
      </c>
      <c r="E22" s="13"/>
      <c r="F22" s="7"/>
      <c r="G22" s="4"/>
      <c r="H22" s="4"/>
      <c r="I22" s="4"/>
      <c r="J22" s="4"/>
      <c r="K22" s="4"/>
      <c r="L22" s="4"/>
    </row>
    <row r="23" spans="1:12" ht="54" x14ac:dyDescent="0.35">
      <c r="A23" s="10">
        <f t="shared" si="0"/>
        <v>13</v>
      </c>
      <c r="B23" s="9">
        <v>2</v>
      </c>
      <c r="C23" s="29" t="s">
        <v>47</v>
      </c>
      <c r="D23" s="41">
        <f>66000+1261000+2039000+38735000</f>
        <v>42101000</v>
      </c>
      <c r="E23" s="13"/>
      <c r="F23" s="7"/>
      <c r="G23" s="4"/>
      <c r="H23" s="4"/>
      <c r="I23" s="4"/>
      <c r="J23" s="4"/>
      <c r="K23" s="4"/>
      <c r="L23" s="4"/>
    </row>
    <row r="24" spans="1:12" ht="72" x14ac:dyDescent="0.35">
      <c r="A24" s="10">
        <f t="shared" si="0"/>
        <v>14</v>
      </c>
      <c r="B24" s="10">
        <v>2</v>
      </c>
      <c r="C24" s="30" t="s">
        <v>126</v>
      </c>
      <c r="D24" s="41">
        <f>1660000+31520000+30030000+570500000</f>
        <v>633710000</v>
      </c>
      <c r="E24" s="13"/>
      <c r="F24" s="7"/>
      <c r="G24" s="2"/>
      <c r="H24" s="2"/>
      <c r="I24" s="2"/>
      <c r="J24" s="2"/>
      <c r="K24" s="4"/>
      <c r="L24" s="4"/>
    </row>
    <row r="25" spans="1:12" ht="36" x14ac:dyDescent="0.35">
      <c r="A25" s="10">
        <f t="shared" si="0"/>
        <v>15</v>
      </c>
      <c r="B25" s="10">
        <v>2</v>
      </c>
      <c r="C25" s="30" t="s">
        <v>48</v>
      </c>
      <c r="D25" s="41">
        <f>2487000+47253000+13407000+254725000</f>
        <v>317872000</v>
      </c>
      <c r="E25" s="13"/>
      <c r="F25" s="7"/>
      <c r="G25" s="2"/>
      <c r="H25" s="2"/>
      <c r="I25" s="2"/>
      <c r="J25" s="2"/>
      <c r="K25" s="4"/>
      <c r="L25" s="4"/>
    </row>
    <row r="26" spans="1:12" ht="54" x14ac:dyDescent="0.35">
      <c r="A26" s="10">
        <f t="shared" si="0"/>
        <v>16</v>
      </c>
      <c r="B26" s="9">
        <v>2</v>
      </c>
      <c r="C26" s="30" t="s">
        <v>49</v>
      </c>
      <c r="D26" s="41">
        <f>3282000+62352000+15289000+290479000</f>
        <v>371402000</v>
      </c>
      <c r="E26" s="13"/>
      <c r="F26" s="7"/>
      <c r="G26" s="2"/>
      <c r="H26" s="2"/>
      <c r="I26" s="2"/>
      <c r="J26" s="2"/>
      <c r="K26" s="4"/>
      <c r="L26" s="4"/>
    </row>
    <row r="27" spans="1:12" ht="54" x14ac:dyDescent="0.35">
      <c r="A27" s="10">
        <f t="shared" si="0"/>
        <v>17</v>
      </c>
      <c r="B27" s="10">
        <v>2</v>
      </c>
      <c r="C27" s="30" t="s">
        <v>50</v>
      </c>
      <c r="D27" s="41">
        <f>2553000+48510000+11247000+213687000</f>
        <v>275997000</v>
      </c>
      <c r="E27" s="13"/>
      <c r="F27" s="7"/>
      <c r="G27" s="2"/>
      <c r="H27" s="2"/>
      <c r="I27" s="2"/>
      <c r="J27" s="2"/>
      <c r="K27" s="4"/>
      <c r="L27" s="4"/>
    </row>
    <row r="28" spans="1:12" ht="36" x14ac:dyDescent="0.35">
      <c r="A28" s="10">
        <f t="shared" si="0"/>
        <v>18</v>
      </c>
      <c r="B28" s="10">
        <v>2</v>
      </c>
      <c r="C28" s="30" t="s">
        <v>51</v>
      </c>
      <c r="D28" s="41">
        <f>969000+18417000+11982000+227654000</f>
        <v>259022000</v>
      </c>
      <c r="E28" s="13"/>
      <c r="F28" s="7"/>
      <c r="G28" s="2"/>
      <c r="H28" s="2"/>
      <c r="I28" s="2"/>
      <c r="J28" s="2"/>
      <c r="K28" s="4"/>
      <c r="L28" s="4"/>
    </row>
    <row r="29" spans="1:12" ht="36" x14ac:dyDescent="0.35">
      <c r="A29" s="10">
        <f t="shared" si="0"/>
        <v>19</v>
      </c>
      <c r="B29" s="9">
        <v>2</v>
      </c>
      <c r="C29" s="30" t="s">
        <v>52</v>
      </c>
      <c r="D29" s="41">
        <f>1625000+30878000+15162000+288067000</f>
        <v>335732000</v>
      </c>
      <c r="E29" s="13"/>
      <c r="F29" s="7"/>
      <c r="G29" s="2"/>
      <c r="H29" s="2"/>
      <c r="I29" s="2"/>
      <c r="J29" s="2"/>
      <c r="K29" s="4"/>
      <c r="L29" s="4"/>
    </row>
    <row r="30" spans="1:12" ht="54" x14ac:dyDescent="0.35">
      <c r="A30" s="10">
        <f t="shared" si="0"/>
        <v>20</v>
      </c>
      <c r="B30" s="10">
        <v>2</v>
      </c>
      <c r="C30" s="30" t="s">
        <v>53</v>
      </c>
      <c r="D30" s="41">
        <f>2549000+48424000+14027000+266506000</f>
        <v>331506000</v>
      </c>
      <c r="E30" s="13"/>
      <c r="F30" s="7"/>
      <c r="G30" s="2"/>
      <c r="H30" s="2"/>
      <c r="I30" s="2"/>
      <c r="J30" s="2"/>
      <c r="K30" s="4"/>
      <c r="L30" s="4"/>
    </row>
    <row r="31" spans="1:12" ht="36" x14ac:dyDescent="0.35">
      <c r="A31" s="10">
        <f t="shared" si="0"/>
        <v>21</v>
      </c>
      <c r="B31" s="10">
        <v>3</v>
      </c>
      <c r="C31" s="33" t="s">
        <v>54</v>
      </c>
      <c r="D31" s="41">
        <f>5212000+99025000</f>
        <v>104237000</v>
      </c>
      <c r="E31" s="13"/>
      <c r="F31" s="7"/>
      <c r="G31" s="4"/>
      <c r="H31" s="4"/>
      <c r="I31" s="4"/>
      <c r="J31" s="4"/>
      <c r="K31" s="4"/>
      <c r="L31" s="4"/>
    </row>
    <row r="32" spans="1:12" ht="54" x14ac:dyDescent="0.35">
      <c r="A32" s="10">
        <f t="shared" si="0"/>
        <v>22</v>
      </c>
      <c r="B32" s="9">
        <v>3</v>
      </c>
      <c r="C32" s="33" t="s">
        <v>55</v>
      </c>
      <c r="D32" s="41">
        <f>(2840+11779+53950+223799)*1000</f>
        <v>292368000</v>
      </c>
      <c r="E32" s="13"/>
      <c r="F32" s="7"/>
      <c r="G32" s="4"/>
      <c r="H32" s="4"/>
      <c r="I32" s="4"/>
      <c r="J32" s="4"/>
      <c r="K32" s="4"/>
      <c r="L32" s="4"/>
    </row>
    <row r="33" spans="1:12" ht="72" x14ac:dyDescent="0.35">
      <c r="A33" s="10">
        <f t="shared" si="0"/>
        <v>23</v>
      </c>
      <c r="B33" s="10">
        <v>3</v>
      </c>
      <c r="C33" s="33" t="s">
        <v>89</v>
      </c>
      <c r="D33" s="41">
        <f>650000+12440000</f>
        <v>13090000</v>
      </c>
      <c r="E33" s="13"/>
      <c r="F33" s="7"/>
      <c r="G33" s="4"/>
      <c r="H33" s="4"/>
      <c r="I33" s="4"/>
      <c r="J33" s="4"/>
      <c r="K33" s="4"/>
      <c r="L33" s="4"/>
    </row>
    <row r="34" spans="1:12" ht="54" x14ac:dyDescent="0.35">
      <c r="A34" s="10">
        <f t="shared" si="0"/>
        <v>24</v>
      </c>
      <c r="B34" s="10">
        <v>3</v>
      </c>
      <c r="C34" s="33" t="s">
        <v>5</v>
      </c>
      <c r="D34" s="41">
        <f>360000+6830000</f>
        <v>7190000</v>
      </c>
      <c r="E34" s="13"/>
      <c r="F34" s="7"/>
      <c r="G34" s="4"/>
      <c r="H34" s="4"/>
      <c r="I34" s="4"/>
      <c r="J34" s="4"/>
      <c r="K34" s="4"/>
      <c r="L34" s="4"/>
    </row>
    <row r="35" spans="1:12" ht="54" x14ac:dyDescent="0.35">
      <c r="A35" s="10">
        <f t="shared" si="0"/>
        <v>25</v>
      </c>
      <c r="B35" s="10">
        <v>3</v>
      </c>
      <c r="C35" s="30" t="s">
        <v>18</v>
      </c>
      <c r="D35" s="41">
        <f>18320000+348140000</f>
        <v>366460000</v>
      </c>
      <c r="E35" s="13"/>
      <c r="F35" s="7"/>
      <c r="G35" s="4"/>
      <c r="H35" s="4"/>
      <c r="I35" s="4"/>
      <c r="J35" s="4"/>
      <c r="K35" s="4"/>
      <c r="L35" s="4"/>
    </row>
    <row r="36" spans="1:12" ht="108" x14ac:dyDescent="0.35">
      <c r="A36" s="10">
        <f t="shared" si="0"/>
        <v>26</v>
      </c>
      <c r="B36" s="10"/>
      <c r="C36" s="30" t="s">
        <v>165</v>
      </c>
      <c r="D36" s="41">
        <f>1980000+37560000</f>
        <v>39540000</v>
      </c>
      <c r="E36" s="13"/>
      <c r="F36" s="7"/>
      <c r="G36" s="4"/>
      <c r="H36" s="4"/>
      <c r="I36" s="4"/>
      <c r="J36" s="4"/>
      <c r="K36" s="4"/>
      <c r="L36" s="4"/>
    </row>
    <row r="37" spans="1:12" ht="90" x14ac:dyDescent="0.35">
      <c r="A37" s="10">
        <f t="shared" si="0"/>
        <v>27</v>
      </c>
      <c r="B37" s="10"/>
      <c r="C37" s="30" t="s">
        <v>166</v>
      </c>
      <c r="D37" s="41">
        <f>2070000+39230000</f>
        <v>41300000</v>
      </c>
      <c r="E37" s="13"/>
      <c r="F37" s="7"/>
      <c r="G37" s="4"/>
      <c r="H37" s="4"/>
      <c r="I37" s="4"/>
      <c r="J37" s="4"/>
      <c r="K37" s="4"/>
      <c r="L37" s="4"/>
    </row>
    <row r="38" spans="1:12" ht="54" x14ac:dyDescent="0.35">
      <c r="A38" s="10">
        <f t="shared" si="0"/>
        <v>28</v>
      </c>
      <c r="B38" s="9">
        <v>3</v>
      </c>
      <c r="C38" s="33" t="s">
        <v>56</v>
      </c>
      <c r="D38" s="41">
        <f>1341000+25485000+9027000+171577000</f>
        <v>207430000</v>
      </c>
      <c r="E38" s="13"/>
      <c r="F38" s="7"/>
      <c r="G38" s="4"/>
      <c r="H38" s="4"/>
      <c r="I38" s="4"/>
      <c r="J38" s="4"/>
      <c r="K38" s="4"/>
      <c r="L38" s="4"/>
    </row>
    <row r="39" spans="1:12" ht="36" x14ac:dyDescent="0.35">
      <c r="A39" s="10">
        <f t="shared" si="0"/>
        <v>29</v>
      </c>
      <c r="B39" s="10">
        <v>3</v>
      </c>
      <c r="C39" s="33" t="s">
        <v>57</v>
      </c>
      <c r="D39" s="41">
        <f>2715000+51615000+1355000+25765000</f>
        <v>81450000</v>
      </c>
      <c r="E39" s="13"/>
      <c r="F39" s="7"/>
      <c r="G39" s="4"/>
      <c r="H39" s="4"/>
      <c r="I39" s="4"/>
      <c r="J39" s="4"/>
      <c r="K39" s="4"/>
      <c r="L39" s="4"/>
    </row>
    <row r="40" spans="1:12" ht="36" x14ac:dyDescent="0.35">
      <c r="A40" s="10">
        <f t="shared" si="0"/>
        <v>30</v>
      </c>
      <c r="B40" s="10">
        <v>3</v>
      </c>
      <c r="C40" s="33" t="s">
        <v>58</v>
      </c>
      <c r="D40" s="41">
        <f>2320000+44100000</f>
        <v>46420000</v>
      </c>
      <c r="E40" s="13"/>
      <c r="F40" s="7"/>
      <c r="G40" s="4"/>
      <c r="H40" s="4"/>
      <c r="I40" s="4"/>
      <c r="J40" s="4"/>
      <c r="K40" s="4"/>
      <c r="L40" s="4"/>
    </row>
    <row r="41" spans="1:12" ht="36" x14ac:dyDescent="0.35">
      <c r="A41" s="10">
        <f t="shared" si="0"/>
        <v>31</v>
      </c>
      <c r="B41" s="9">
        <v>5</v>
      </c>
      <c r="C41" s="30" t="s">
        <v>23</v>
      </c>
      <c r="D41" s="41">
        <f>3790000+72010000</f>
        <v>75800000</v>
      </c>
      <c r="E41" s="13"/>
      <c r="F41" s="7"/>
      <c r="G41" s="4"/>
      <c r="H41" s="4"/>
      <c r="I41" s="4"/>
      <c r="J41" s="4"/>
      <c r="K41" s="4"/>
      <c r="L41" s="4"/>
    </row>
    <row r="42" spans="1:12" ht="36" x14ac:dyDescent="0.35">
      <c r="A42" s="10">
        <f t="shared" si="0"/>
        <v>32</v>
      </c>
      <c r="B42" s="10">
        <v>5</v>
      </c>
      <c r="C42" s="33" t="s">
        <v>24</v>
      </c>
      <c r="D42" s="41">
        <f>3329000+63246000</f>
        <v>66575000</v>
      </c>
      <c r="E42" s="13"/>
      <c r="F42" s="7"/>
      <c r="G42" s="4"/>
      <c r="H42" s="4"/>
      <c r="I42" s="4"/>
      <c r="J42" s="4"/>
      <c r="K42" s="4"/>
      <c r="L42" s="4"/>
    </row>
    <row r="43" spans="1:12" ht="36" x14ac:dyDescent="0.35">
      <c r="A43" s="10">
        <f t="shared" si="0"/>
        <v>33</v>
      </c>
      <c r="B43" s="10">
        <v>5</v>
      </c>
      <c r="C43" s="30" t="s">
        <v>6</v>
      </c>
      <c r="D43" s="41">
        <f>8510000+161691000</f>
        <v>170201000</v>
      </c>
      <c r="E43" s="13"/>
      <c r="F43" s="7"/>
      <c r="G43" s="4"/>
      <c r="H43" s="4"/>
      <c r="I43" s="4"/>
      <c r="J43" s="4"/>
      <c r="K43" s="4"/>
      <c r="L43" s="4"/>
    </row>
    <row r="44" spans="1:12" ht="54" x14ac:dyDescent="0.35">
      <c r="A44" s="10">
        <f t="shared" si="0"/>
        <v>34</v>
      </c>
      <c r="B44" s="10">
        <v>5</v>
      </c>
      <c r="C44" s="30" t="s">
        <v>65</v>
      </c>
      <c r="D44" s="41">
        <f>9250000+175800000</f>
        <v>185050000</v>
      </c>
      <c r="E44" s="13"/>
      <c r="F44" s="7"/>
      <c r="G44" s="4"/>
      <c r="H44" s="4"/>
      <c r="I44" s="4"/>
      <c r="J44" s="4"/>
      <c r="K44" s="4"/>
      <c r="L44" s="4"/>
    </row>
    <row r="45" spans="1:12" ht="36" x14ac:dyDescent="0.35">
      <c r="A45" s="10">
        <f t="shared" si="0"/>
        <v>35</v>
      </c>
      <c r="B45" s="10">
        <v>5</v>
      </c>
      <c r="C45" s="30" t="s">
        <v>66</v>
      </c>
      <c r="D45" s="41">
        <v>185050000</v>
      </c>
      <c r="E45" s="13"/>
      <c r="F45" s="7"/>
      <c r="G45" s="4"/>
      <c r="H45" s="4"/>
      <c r="I45" s="4"/>
      <c r="J45" s="4"/>
      <c r="K45" s="4"/>
      <c r="L45" s="4"/>
    </row>
    <row r="46" spans="1:12" ht="54" x14ac:dyDescent="0.35">
      <c r="A46" s="10">
        <f t="shared" si="0"/>
        <v>36</v>
      </c>
      <c r="B46" s="9"/>
      <c r="C46" s="30" t="s">
        <v>164</v>
      </c>
      <c r="D46" s="41">
        <f>1783000+33867000</f>
        <v>35650000</v>
      </c>
      <c r="E46" s="13"/>
      <c r="F46" s="7"/>
      <c r="G46" s="4"/>
      <c r="H46" s="4"/>
      <c r="I46" s="4"/>
      <c r="J46" s="4"/>
      <c r="K46" s="4"/>
      <c r="L46" s="4"/>
    </row>
    <row r="47" spans="1:12" ht="54" x14ac:dyDescent="0.35">
      <c r="A47" s="10">
        <f t="shared" si="0"/>
        <v>37</v>
      </c>
      <c r="B47" s="9">
        <v>5</v>
      </c>
      <c r="C47" s="30" t="s">
        <v>21</v>
      </c>
      <c r="D47" s="41">
        <f>2909000+55273000</f>
        <v>58182000</v>
      </c>
      <c r="E47" s="13"/>
      <c r="F47" s="7"/>
      <c r="G47" s="4"/>
      <c r="H47" s="4"/>
      <c r="I47" s="4"/>
      <c r="J47" s="4"/>
      <c r="K47" s="4"/>
      <c r="L47" s="4"/>
    </row>
    <row r="48" spans="1:12" ht="36" x14ac:dyDescent="0.35">
      <c r="A48" s="10">
        <f t="shared" si="0"/>
        <v>38</v>
      </c>
      <c r="B48" s="10">
        <v>5</v>
      </c>
      <c r="C48" s="29" t="s">
        <v>7</v>
      </c>
      <c r="D48" s="41">
        <f>3507000+66623000</f>
        <v>70130000</v>
      </c>
      <c r="E48" s="13"/>
      <c r="F48" s="7"/>
      <c r="G48" s="4"/>
      <c r="H48" s="4"/>
      <c r="I48" s="4"/>
      <c r="J48" s="4"/>
      <c r="K48" s="4"/>
      <c r="L48" s="4"/>
    </row>
    <row r="49" spans="1:12" ht="54" x14ac:dyDescent="0.35">
      <c r="A49" s="10">
        <f t="shared" si="0"/>
        <v>39</v>
      </c>
      <c r="B49" s="10">
        <v>5</v>
      </c>
      <c r="C49" s="8" t="s">
        <v>8</v>
      </c>
      <c r="D49" s="41">
        <f>100000000</f>
        <v>100000000</v>
      </c>
      <c r="E49" s="13"/>
      <c r="F49" s="7"/>
      <c r="G49" s="1"/>
      <c r="H49" s="1"/>
      <c r="I49" s="1"/>
      <c r="J49" s="1"/>
      <c r="K49" s="4"/>
      <c r="L49" s="1"/>
    </row>
    <row r="50" spans="1:12" ht="54" x14ac:dyDescent="0.35">
      <c r="A50" s="10">
        <f t="shared" si="0"/>
        <v>40</v>
      </c>
      <c r="B50" s="9">
        <v>5</v>
      </c>
      <c r="C50" s="8" t="s">
        <v>92</v>
      </c>
      <c r="D50" s="41">
        <v>20000000</v>
      </c>
      <c r="E50" s="13"/>
      <c r="F50" s="7"/>
      <c r="G50" s="2"/>
      <c r="H50" s="2"/>
      <c r="I50" s="2"/>
      <c r="J50" s="2"/>
      <c r="K50" s="4"/>
      <c r="L50" s="2"/>
    </row>
    <row r="51" spans="1:12" ht="54" x14ac:dyDescent="0.35">
      <c r="A51" s="10">
        <f t="shared" si="0"/>
        <v>41</v>
      </c>
      <c r="B51" s="9"/>
      <c r="C51" s="8" t="s">
        <v>127</v>
      </c>
      <c r="D51" s="41">
        <v>100000000</v>
      </c>
      <c r="E51" s="13"/>
      <c r="F51" s="7"/>
      <c r="G51" s="2"/>
      <c r="H51" s="2"/>
      <c r="I51" s="2"/>
      <c r="J51" s="2"/>
      <c r="K51" s="4"/>
      <c r="L51" s="2"/>
    </row>
    <row r="52" spans="1:12" ht="54" x14ac:dyDescent="0.35">
      <c r="A52" s="10">
        <f t="shared" si="0"/>
        <v>42</v>
      </c>
      <c r="B52" s="10">
        <v>5</v>
      </c>
      <c r="C52" s="33" t="s">
        <v>9</v>
      </c>
      <c r="D52" s="41">
        <f>1522000+28920000</f>
        <v>30442000</v>
      </c>
      <c r="E52" s="13"/>
      <c r="F52" s="7"/>
      <c r="G52" s="2"/>
      <c r="H52" s="2"/>
      <c r="I52" s="4"/>
      <c r="J52" s="2"/>
      <c r="K52" s="4"/>
      <c r="L52" s="2"/>
    </row>
    <row r="53" spans="1:12" ht="54" x14ac:dyDescent="0.35">
      <c r="A53" s="10">
        <f t="shared" si="0"/>
        <v>43</v>
      </c>
      <c r="B53" s="10"/>
      <c r="C53" s="33" t="s">
        <v>128</v>
      </c>
      <c r="D53" s="41">
        <f>3685000+70007000</f>
        <v>73692000</v>
      </c>
      <c r="E53" s="13"/>
      <c r="F53" s="7"/>
      <c r="G53" s="2"/>
      <c r="H53" s="2"/>
      <c r="I53" s="4"/>
      <c r="J53" s="2"/>
      <c r="K53" s="4"/>
      <c r="L53" s="2"/>
    </row>
    <row r="54" spans="1:12" ht="54" x14ac:dyDescent="0.35">
      <c r="A54" s="10">
        <f t="shared" si="0"/>
        <v>44</v>
      </c>
      <c r="B54" s="10">
        <v>5</v>
      </c>
      <c r="C54" s="8" t="s">
        <v>93</v>
      </c>
      <c r="D54" s="41">
        <f>1916000+36396000</f>
        <v>38312000</v>
      </c>
      <c r="E54" s="13"/>
      <c r="F54" s="7"/>
      <c r="G54" s="4"/>
      <c r="H54" s="4"/>
      <c r="I54" s="4"/>
      <c r="J54" s="4"/>
      <c r="K54" s="4"/>
      <c r="L54" s="4"/>
    </row>
    <row r="55" spans="1:12" ht="54" x14ac:dyDescent="0.35">
      <c r="A55" s="10">
        <f t="shared" si="0"/>
        <v>45</v>
      </c>
      <c r="B55" s="9">
        <v>5</v>
      </c>
      <c r="C55" s="8" t="s">
        <v>94</v>
      </c>
      <c r="D55" s="41">
        <f>2709000+51475000</f>
        <v>54184000</v>
      </c>
      <c r="E55" s="13"/>
      <c r="F55" s="7"/>
      <c r="G55" s="2"/>
      <c r="H55" s="2"/>
      <c r="I55" s="2"/>
      <c r="J55" s="2"/>
      <c r="K55" s="4"/>
      <c r="L55" s="2"/>
    </row>
    <row r="56" spans="1:12" ht="54" x14ac:dyDescent="0.35">
      <c r="A56" s="10">
        <f t="shared" si="0"/>
        <v>46</v>
      </c>
      <c r="B56" s="9"/>
      <c r="C56" s="8" t="s">
        <v>129</v>
      </c>
      <c r="D56" s="41">
        <f>440000+8260000</f>
        <v>8700000</v>
      </c>
      <c r="E56" s="13"/>
      <c r="F56" s="7"/>
      <c r="G56" s="2"/>
      <c r="H56" s="2"/>
      <c r="I56" s="2"/>
      <c r="J56" s="2"/>
      <c r="K56" s="4"/>
      <c r="L56" s="2"/>
    </row>
    <row r="57" spans="1:12" ht="54" x14ac:dyDescent="0.35">
      <c r="A57" s="10">
        <f t="shared" si="0"/>
        <v>47</v>
      </c>
      <c r="B57" s="9"/>
      <c r="C57" s="8" t="s">
        <v>130</v>
      </c>
      <c r="D57" s="41">
        <f>450000+8520000</f>
        <v>8970000</v>
      </c>
      <c r="E57" s="13"/>
      <c r="F57" s="7"/>
      <c r="G57" s="2"/>
      <c r="H57" s="2"/>
      <c r="I57" s="2"/>
      <c r="J57" s="2"/>
      <c r="K57" s="4"/>
      <c r="L57" s="2"/>
    </row>
    <row r="58" spans="1:12" ht="36" x14ac:dyDescent="0.35">
      <c r="A58" s="10">
        <f t="shared" si="0"/>
        <v>48</v>
      </c>
      <c r="B58" s="9"/>
      <c r="C58" s="8" t="s">
        <v>131</v>
      </c>
      <c r="D58" s="41">
        <f>410000+7720000</f>
        <v>8130000</v>
      </c>
      <c r="E58" s="13"/>
      <c r="F58" s="7"/>
      <c r="G58" s="2"/>
      <c r="H58" s="2"/>
      <c r="I58" s="2"/>
      <c r="J58" s="2"/>
      <c r="K58" s="4"/>
      <c r="L58" s="2"/>
    </row>
    <row r="59" spans="1:12" ht="54" x14ac:dyDescent="0.35">
      <c r="A59" s="10">
        <f t="shared" si="0"/>
        <v>49</v>
      </c>
      <c r="B59" s="9"/>
      <c r="C59" s="8" t="s">
        <v>132</v>
      </c>
      <c r="D59" s="41">
        <f>460000+8720000</f>
        <v>9180000</v>
      </c>
      <c r="E59" s="13"/>
      <c r="F59" s="7"/>
      <c r="G59" s="2"/>
      <c r="H59" s="2"/>
      <c r="I59" s="2"/>
      <c r="J59" s="2"/>
      <c r="K59" s="4"/>
      <c r="L59" s="2"/>
    </row>
    <row r="60" spans="1:12" ht="72" x14ac:dyDescent="0.35">
      <c r="A60" s="10">
        <f t="shared" si="0"/>
        <v>50</v>
      </c>
      <c r="B60" s="9"/>
      <c r="C60" s="8" t="s">
        <v>133</v>
      </c>
      <c r="D60" s="41">
        <f>240000+4630000</f>
        <v>4870000</v>
      </c>
      <c r="E60" s="13"/>
      <c r="F60" s="7"/>
      <c r="G60" s="2"/>
      <c r="H60" s="2"/>
      <c r="I60" s="2"/>
      <c r="J60" s="2"/>
      <c r="K60" s="4"/>
      <c r="L60" s="2"/>
    </row>
    <row r="61" spans="1:12" ht="36" x14ac:dyDescent="0.35">
      <c r="A61" s="10">
        <f t="shared" si="0"/>
        <v>51</v>
      </c>
      <c r="B61" s="9"/>
      <c r="C61" s="8" t="s">
        <v>134</v>
      </c>
      <c r="D61" s="41">
        <f>450000+8480000</f>
        <v>8930000</v>
      </c>
      <c r="E61" s="13"/>
      <c r="F61" s="7"/>
      <c r="G61" s="2"/>
      <c r="H61" s="2"/>
      <c r="I61" s="2"/>
      <c r="J61" s="2"/>
      <c r="K61" s="4"/>
      <c r="L61" s="2"/>
    </row>
    <row r="62" spans="1:12" ht="54" x14ac:dyDescent="0.35">
      <c r="A62" s="10">
        <f t="shared" si="0"/>
        <v>52</v>
      </c>
      <c r="B62" s="9"/>
      <c r="C62" s="8" t="s">
        <v>135</v>
      </c>
      <c r="D62" s="41">
        <f>450000+8480000</f>
        <v>8930000</v>
      </c>
      <c r="E62" s="13"/>
      <c r="F62" s="7"/>
      <c r="G62" s="2"/>
      <c r="H62" s="2"/>
      <c r="I62" s="2"/>
      <c r="J62" s="2"/>
      <c r="K62" s="4"/>
      <c r="L62" s="2"/>
    </row>
    <row r="63" spans="1:12" ht="54" x14ac:dyDescent="0.35">
      <c r="A63" s="10">
        <f t="shared" si="0"/>
        <v>53</v>
      </c>
      <c r="B63" s="9"/>
      <c r="C63" s="8" t="s">
        <v>136</v>
      </c>
      <c r="D63" s="41">
        <f>460000+8720000</f>
        <v>9180000</v>
      </c>
      <c r="E63" s="13"/>
      <c r="F63" s="7"/>
      <c r="G63" s="2"/>
      <c r="H63" s="2"/>
      <c r="I63" s="2"/>
      <c r="J63" s="2"/>
      <c r="K63" s="4"/>
      <c r="L63" s="2"/>
    </row>
    <row r="64" spans="1:12" ht="54" x14ac:dyDescent="0.35">
      <c r="A64" s="10">
        <f t="shared" si="0"/>
        <v>54</v>
      </c>
      <c r="B64" s="9"/>
      <c r="C64" s="8" t="s">
        <v>137</v>
      </c>
      <c r="D64" s="41">
        <f>460000+8720000</f>
        <v>9180000</v>
      </c>
      <c r="E64" s="13"/>
      <c r="F64" s="7"/>
      <c r="G64" s="2"/>
      <c r="H64" s="2"/>
      <c r="I64" s="2"/>
      <c r="J64" s="2"/>
      <c r="K64" s="4"/>
      <c r="L64" s="2"/>
    </row>
    <row r="65" spans="1:12" ht="36" x14ac:dyDescent="0.35">
      <c r="A65" s="10">
        <f t="shared" si="0"/>
        <v>55</v>
      </c>
      <c r="B65" s="9"/>
      <c r="C65" s="8" t="s">
        <v>138</v>
      </c>
      <c r="D65" s="41">
        <f>470000+8990000</f>
        <v>9460000</v>
      </c>
      <c r="E65" s="13"/>
      <c r="F65" s="7"/>
      <c r="G65" s="2"/>
      <c r="H65" s="2"/>
      <c r="I65" s="2"/>
      <c r="J65" s="2"/>
      <c r="K65" s="4"/>
      <c r="L65" s="2"/>
    </row>
    <row r="66" spans="1:12" ht="36" x14ac:dyDescent="0.35">
      <c r="A66" s="10">
        <f t="shared" si="0"/>
        <v>56</v>
      </c>
      <c r="B66" s="10">
        <v>5</v>
      </c>
      <c r="C66" s="8" t="s">
        <v>25</v>
      </c>
      <c r="D66" s="41">
        <f>7603000+144454000</f>
        <v>152057000</v>
      </c>
      <c r="E66" s="13"/>
      <c r="F66" s="7"/>
      <c r="G66" s="2"/>
      <c r="H66" s="2"/>
      <c r="I66" s="2"/>
      <c r="J66" s="2"/>
      <c r="K66" s="4"/>
      <c r="L66" s="2"/>
    </row>
    <row r="67" spans="1:12" ht="36" x14ac:dyDescent="0.35">
      <c r="A67" s="10">
        <f t="shared" si="0"/>
        <v>57</v>
      </c>
      <c r="B67" s="10"/>
      <c r="C67" s="8" t="s">
        <v>139</v>
      </c>
      <c r="D67" s="41">
        <f>820000+15600000</f>
        <v>16420000</v>
      </c>
      <c r="E67" s="13"/>
      <c r="F67" s="7"/>
      <c r="G67" s="2"/>
      <c r="H67" s="2"/>
      <c r="I67" s="2"/>
      <c r="J67" s="2"/>
      <c r="K67" s="4"/>
      <c r="L67" s="2"/>
    </row>
    <row r="68" spans="1:12" ht="54" x14ac:dyDescent="0.35">
      <c r="A68" s="10">
        <f t="shared" si="0"/>
        <v>58</v>
      </c>
      <c r="B68" s="10">
        <v>5</v>
      </c>
      <c r="C68" s="8" t="s">
        <v>10</v>
      </c>
      <c r="D68" s="41">
        <f>100000000</f>
        <v>100000000</v>
      </c>
      <c r="E68" s="13"/>
      <c r="F68" s="7"/>
      <c r="G68" s="2"/>
      <c r="H68" s="2"/>
      <c r="I68" s="2"/>
      <c r="J68" s="2"/>
      <c r="K68" s="4"/>
      <c r="L68" s="2"/>
    </row>
    <row r="69" spans="1:12" ht="36" x14ac:dyDescent="0.35">
      <c r="A69" s="10">
        <f t="shared" si="0"/>
        <v>59</v>
      </c>
      <c r="B69" s="9">
        <v>5</v>
      </c>
      <c r="C69" s="8" t="s">
        <v>15</v>
      </c>
      <c r="D69" s="41">
        <f>80000000</f>
        <v>80000000</v>
      </c>
      <c r="E69" s="13"/>
      <c r="F69" s="7"/>
      <c r="G69" s="2"/>
      <c r="H69" s="2"/>
      <c r="I69" s="2"/>
      <c r="J69" s="2"/>
      <c r="K69" s="4"/>
      <c r="L69" s="2"/>
    </row>
    <row r="70" spans="1:12" ht="36" x14ac:dyDescent="0.35">
      <c r="A70" s="10">
        <f t="shared" si="0"/>
        <v>60</v>
      </c>
      <c r="B70" s="9"/>
      <c r="C70" s="8" t="s">
        <v>140</v>
      </c>
      <c r="D70" s="41">
        <f>5589000+106194000</f>
        <v>111783000</v>
      </c>
      <c r="E70" s="13"/>
      <c r="F70" s="7"/>
      <c r="G70" s="2"/>
      <c r="H70" s="2"/>
      <c r="I70" s="2"/>
      <c r="J70" s="2"/>
      <c r="K70" s="4"/>
      <c r="L70" s="2"/>
    </row>
    <row r="71" spans="1:12" ht="36" x14ac:dyDescent="0.35">
      <c r="A71" s="10">
        <f t="shared" si="0"/>
        <v>61</v>
      </c>
      <c r="B71" s="10">
        <v>5</v>
      </c>
      <c r="C71" s="8" t="s">
        <v>16</v>
      </c>
      <c r="D71" s="41">
        <f>180000000</f>
        <v>180000000</v>
      </c>
      <c r="E71" s="13"/>
      <c r="F71" s="7"/>
      <c r="G71" s="2"/>
      <c r="H71" s="2"/>
      <c r="I71" s="2"/>
      <c r="J71" s="2"/>
      <c r="K71" s="4"/>
      <c r="L71" s="2"/>
    </row>
    <row r="72" spans="1:12" ht="54" x14ac:dyDescent="0.35">
      <c r="A72" s="10">
        <f t="shared" si="0"/>
        <v>62</v>
      </c>
      <c r="B72" s="9">
        <v>5</v>
      </c>
      <c r="C72" s="8" t="s">
        <v>26</v>
      </c>
      <c r="D72" s="41">
        <v>50000000</v>
      </c>
      <c r="E72" s="13"/>
      <c r="F72" s="7"/>
      <c r="G72" s="2"/>
      <c r="H72" s="2"/>
      <c r="I72" s="2"/>
      <c r="J72" s="2"/>
      <c r="K72" s="4"/>
      <c r="L72" s="2"/>
    </row>
    <row r="73" spans="1:12" ht="36" x14ac:dyDescent="0.35">
      <c r="A73" s="10">
        <f t="shared" si="0"/>
        <v>63</v>
      </c>
      <c r="B73" s="10">
        <v>5</v>
      </c>
      <c r="C73" s="8" t="s">
        <v>27</v>
      </c>
      <c r="D73" s="41">
        <v>80000000</v>
      </c>
      <c r="E73" s="13"/>
      <c r="F73" s="7"/>
      <c r="G73" s="2"/>
      <c r="H73" s="2"/>
      <c r="I73" s="2"/>
      <c r="J73" s="2"/>
      <c r="K73" s="4"/>
      <c r="L73" s="2"/>
    </row>
    <row r="74" spans="1:12" ht="36" x14ac:dyDescent="0.35">
      <c r="A74" s="10">
        <f t="shared" si="0"/>
        <v>64</v>
      </c>
      <c r="B74" s="10">
        <v>5</v>
      </c>
      <c r="C74" s="8" t="s">
        <v>28</v>
      </c>
      <c r="D74" s="41">
        <v>50000000</v>
      </c>
      <c r="E74" s="13"/>
      <c r="F74" s="7"/>
      <c r="G74" s="2"/>
      <c r="H74" s="2"/>
      <c r="I74" s="2"/>
      <c r="J74" s="2"/>
      <c r="K74" s="4"/>
      <c r="L74" s="2"/>
    </row>
    <row r="75" spans="1:12" ht="72" x14ac:dyDescent="0.35">
      <c r="A75" s="10">
        <f t="shared" si="0"/>
        <v>65</v>
      </c>
      <c r="B75" s="9">
        <v>5</v>
      </c>
      <c r="C75" s="8" t="s">
        <v>11</v>
      </c>
      <c r="D75" s="41">
        <f>6569000+124810000</f>
        <v>131379000</v>
      </c>
      <c r="E75" s="13"/>
      <c r="F75" s="7"/>
      <c r="G75" s="2"/>
      <c r="H75" s="2"/>
      <c r="I75" s="2"/>
      <c r="J75" s="2"/>
      <c r="K75" s="4"/>
      <c r="L75" s="2"/>
    </row>
    <row r="76" spans="1:12" ht="54" x14ac:dyDescent="0.35">
      <c r="A76" s="10">
        <f t="shared" si="0"/>
        <v>66</v>
      </c>
      <c r="B76" s="10">
        <v>5</v>
      </c>
      <c r="C76" s="8" t="s">
        <v>29</v>
      </c>
      <c r="D76" s="41">
        <v>200000000</v>
      </c>
      <c r="E76" s="13"/>
      <c r="F76" s="7"/>
      <c r="G76" s="2"/>
      <c r="H76" s="2"/>
      <c r="I76" s="2"/>
      <c r="J76" s="2"/>
      <c r="K76" s="4"/>
      <c r="L76" s="2"/>
    </row>
    <row r="77" spans="1:12" ht="36" x14ac:dyDescent="0.35">
      <c r="A77" s="10">
        <f t="shared" ref="A77:A140" si="1">A76+1</f>
        <v>67</v>
      </c>
      <c r="B77" s="10">
        <v>5</v>
      </c>
      <c r="C77" s="8" t="s">
        <v>30</v>
      </c>
      <c r="D77" s="41">
        <f>10206000+193916000</f>
        <v>204122000</v>
      </c>
      <c r="E77" s="13"/>
      <c r="F77" s="7"/>
      <c r="G77" s="2"/>
      <c r="H77" s="2"/>
      <c r="I77" s="2"/>
      <c r="J77" s="2"/>
      <c r="K77" s="4"/>
      <c r="L77" s="2"/>
    </row>
    <row r="78" spans="1:12" x14ac:dyDescent="0.35">
      <c r="A78" s="10">
        <f t="shared" si="1"/>
        <v>68</v>
      </c>
      <c r="B78" s="10">
        <v>5</v>
      </c>
      <c r="C78" s="8" t="s">
        <v>107</v>
      </c>
      <c r="D78" s="41">
        <f>22278000+423286000</f>
        <v>445564000</v>
      </c>
      <c r="E78" s="13"/>
      <c r="F78" s="7"/>
      <c r="G78" s="2"/>
      <c r="H78" s="2"/>
      <c r="I78" s="2"/>
      <c r="J78" s="2"/>
      <c r="K78" s="4"/>
      <c r="L78" s="2"/>
    </row>
    <row r="79" spans="1:12" ht="36" x14ac:dyDescent="0.35">
      <c r="A79" s="10">
        <f t="shared" si="1"/>
        <v>69</v>
      </c>
      <c r="B79" s="9"/>
      <c r="C79" s="8" t="s">
        <v>12</v>
      </c>
      <c r="D79" s="41">
        <f>26730000+507870000</f>
        <v>534600000</v>
      </c>
      <c r="E79" s="13"/>
      <c r="F79" s="7"/>
      <c r="G79" s="2"/>
      <c r="H79" s="2"/>
      <c r="I79" s="2"/>
      <c r="J79" s="2"/>
      <c r="K79" s="2"/>
      <c r="L79" s="2"/>
    </row>
    <row r="80" spans="1:12" ht="90" x14ac:dyDescent="0.35">
      <c r="A80" s="10">
        <f t="shared" si="1"/>
        <v>70</v>
      </c>
      <c r="B80" s="10"/>
      <c r="C80" s="8" t="s">
        <v>31</v>
      </c>
      <c r="D80" s="41">
        <f>149870000+2847570000</f>
        <v>2997440000</v>
      </c>
      <c r="E80" s="13"/>
      <c r="F80" s="7"/>
      <c r="G80" s="2"/>
      <c r="H80" s="2"/>
      <c r="I80" s="2"/>
      <c r="J80" s="2"/>
      <c r="K80" s="2"/>
      <c r="L80" s="2"/>
    </row>
    <row r="81" spans="1:12" ht="72" x14ac:dyDescent="0.35">
      <c r="A81" s="10">
        <f t="shared" si="1"/>
        <v>71</v>
      </c>
      <c r="B81" s="10">
        <v>4</v>
      </c>
      <c r="C81" s="8" t="s">
        <v>39</v>
      </c>
      <c r="D81" s="41">
        <f>16220000+308230000</f>
        <v>324450000</v>
      </c>
      <c r="E81" s="13"/>
      <c r="F81" s="7"/>
      <c r="G81" s="2"/>
      <c r="H81" s="2"/>
      <c r="I81" s="2"/>
      <c r="J81" s="2"/>
      <c r="K81" s="2"/>
      <c r="L81" s="2"/>
    </row>
    <row r="82" spans="1:12" ht="36" x14ac:dyDescent="0.35">
      <c r="A82" s="10">
        <f t="shared" si="1"/>
        <v>72</v>
      </c>
      <c r="B82" s="10">
        <v>4</v>
      </c>
      <c r="C82" s="8" t="s">
        <v>32</v>
      </c>
      <c r="D82" s="41">
        <v>90000000</v>
      </c>
      <c r="E82" s="13"/>
      <c r="F82" s="7"/>
      <c r="G82" s="2"/>
      <c r="H82" s="2"/>
      <c r="I82" s="2"/>
      <c r="J82" s="2"/>
      <c r="K82" s="2"/>
      <c r="L82" s="2"/>
    </row>
    <row r="83" spans="1:12" ht="54" x14ac:dyDescent="0.35">
      <c r="A83" s="10">
        <f t="shared" si="1"/>
        <v>73</v>
      </c>
      <c r="B83" s="10"/>
      <c r="C83" s="8" t="s">
        <v>141</v>
      </c>
      <c r="D83" s="41">
        <v>30000000</v>
      </c>
      <c r="E83" s="13"/>
      <c r="F83" s="7"/>
      <c r="G83" s="2"/>
      <c r="H83" s="2"/>
      <c r="I83" s="2"/>
      <c r="J83" s="2"/>
      <c r="K83" s="2"/>
      <c r="L83" s="2"/>
    </row>
    <row r="84" spans="1:12" ht="54" x14ac:dyDescent="0.35">
      <c r="A84" s="10">
        <f t="shared" si="1"/>
        <v>74</v>
      </c>
      <c r="B84" s="10">
        <v>4</v>
      </c>
      <c r="C84" s="8" t="s">
        <v>33</v>
      </c>
      <c r="D84" s="41">
        <v>20000000</v>
      </c>
      <c r="E84" s="13"/>
      <c r="F84" s="7"/>
      <c r="G84" s="2"/>
      <c r="H84" s="2"/>
      <c r="I84" s="2"/>
      <c r="J84" s="2"/>
      <c r="K84" s="2"/>
      <c r="L84" s="2"/>
    </row>
    <row r="85" spans="1:12" ht="54" x14ac:dyDescent="0.35">
      <c r="A85" s="10">
        <f t="shared" si="1"/>
        <v>75</v>
      </c>
      <c r="B85" s="10"/>
      <c r="C85" s="8" t="s">
        <v>142</v>
      </c>
      <c r="D85" s="41">
        <f>400000+7600000</f>
        <v>8000000</v>
      </c>
      <c r="E85" s="13"/>
      <c r="F85" s="7"/>
      <c r="G85" s="2"/>
      <c r="H85" s="2"/>
      <c r="I85" s="2"/>
      <c r="J85" s="2"/>
      <c r="K85" s="2"/>
      <c r="L85" s="2"/>
    </row>
    <row r="86" spans="1:12" ht="36" x14ac:dyDescent="0.35">
      <c r="A86" s="10">
        <f t="shared" si="1"/>
        <v>76</v>
      </c>
      <c r="B86" s="10"/>
      <c r="C86" s="8" t="s">
        <v>143</v>
      </c>
      <c r="D86" s="41">
        <f>4172000+79221000</f>
        <v>83393000</v>
      </c>
      <c r="E86" s="13"/>
      <c r="F86" s="7"/>
      <c r="G86" s="2"/>
      <c r="H86" s="2"/>
      <c r="I86" s="2"/>
      <c r="J86" s="2"/>
      <c r="K86" s="2"/>
      <c r="L86" s="2"/>
    </row>
    <row r="87" spans="1:12" ht="54" x14ac:dyDescent="0.35">
      <c r="A87" s="10">
        <f t="shared" si="1"/>
        <v>77</v>
      </c>
      <c r="B87" s="10">
        <v>4</v>
      </c>
      <c r="C87" s="8" t="s">
        <v>34</v>
      </c>
      <c r="D87" s="41">
        <f>6735000+127960000</f>
        <v>134695000</v>
      </c>
      <c r="E87" s="13"/>
      <c r="F87" s="7"/>
      <c r="G87" s="2"/>
      <c r="H87" s="2"/>
      <c r="I87" s="2"/>
      <c r="J87" s="2"/>
      <c r="K87" s="2"/>
      <c r="L87" s="2"/>
    </row>
    <row r="88" spans="1:12" ht="36" x14ac:dyDescent="0.35">
      <c r="A88" s="10">
        <f t="shared" si="1"/>
        <v>78</v>
      </c>
      <c r="B88" s="9">
        <v>4</v>
      </c>
      <c r="C88" s="8" t="s">
        <v>35</v>
      </c>
      <c r="D88" s="41">
        <v>20000000</v>
      </c>
      <c r="E88" s="13"/>
      <c r="F88" s="7"/>
      <c r="G88" s="2"/>
      <c r="H88" s="2"/>
      <c r="I88" s="2"/>
      <c r="J88" s="2"/>
      <c r="K88" s="2"/>
      <c r="L88" s="2"/>
    </row>
    <row r="89" spans="1:12" ht="36" x14ac:dyDescent="0.35">
      <c r="A89" s="10">
        <f t="shared" si="1"/>
        <v>79</v>
      </c>
      <c r="B89" s="10">
        <v>4</v>
      </c>
      <c r="C89" s="8" t="s">
        <v>17</v>
      </c>
      <c r="D89" s="41">
        <f>8363000+158895000</f>
        <v>167258000</v>
      </c>
      <c r="E89" s="13"/>
      <c r="F89" s="7"/>
      <c r="G89" s="2"/>
      <c r="H89" s="2"/>
      <c r="I89" s="2"/>
      <c r="J89" s="2"/>
      <c r="K89" s="2"/>
      <c r="L89" s="2"/>
    </row>
    <row r="90" spans="1:12" ht="36" x14ac:dyDescent="0.35">
      <c r="A90" s="10">
        <f t="shared" si="1"/>
        <v>80</v>
      </c>
      <c r="B90" s="10">
        <v>4</v>
      </c>
      <c r="C90" s="8" t="s">
        <v>22</v>
      </c>
      <c r="D90" s="41">
        <v>50000000</v>
      </c>
      <c r="E90" s="13"/>
      <c r="F90" s="7"/>
      <c r="G90" s="2"/>
      <c r="H90" s="2"/>
      <c r="I90" s="2"/>
      <c r="J90" s="2"/>
      <c r="K90" s="2"/>
      <c r="L90" s="2"/>
    </row>
    <row r="91" spans="1:12" ht="36" x14ac:dyDescent="0.35">
      <c r="A91" s="10">
        <f t="shared" si="1"/>
        <v>81</v>
      </c>
      <c r="B91" s="9">
        <v>4</v>
      </c>
      <c r="C91" s="8" t="s">
        <v>13</v>
      </c>
      <c r="D91" s="41">
        <f>17948000+341012000</f>
        <v>358960000</v>
      </c>
      <c r="E91" s="13"/>
      <c r="F91" s="7"/>
      <c r="G91" s="2"/>
      <c r="H91" s="2"/>
      <c r="I91" s="2"/>
      <c r="J91" s="2"/>
      <c r="K91" s="2"/>
      <c r="L91" s="2"/>
    </row>
    <row r="92" spans="1:12" ht="36" x14ac:dyDescent="0.35">
      <c r="A92" s="10">
        <f t="shared" si="1"/>
        <v>82</v>
      </c>
      <c r="B92" s="10">
        <v>4</v>
      </c>
      <c r="C92" s="8" t="s">
        <v>61</v>
      </c>
      <c r="D92" s="41">
        <f>2427000+46119000</f>
        <v>48546000</v>
      </c>
      <c r="E92" s="13"/>
      <c r="F92" s="7"/>
      <c r="G92" s="2"/>
      <c r="H92" s="2"/>
      <c r="I92" s="2"/>
      <c r="J92" s="2"/>
      <c r="K92" s="2"/>
      <c r="L92" s="2"/>
    </row>
    <row r="93" spans="1:12" x14ac:dyDescent="0.35">
      <c r="A93" s="10">
        <f t="shared" si="1"/>
        <v>83</v>
      </c>
      <c r="B93" s="10">
        <v>4</v>
      </c>
      <c r="C93" s="8" t="s">
        <v>62</v>
      </c>
      <c r="D93" s="41">
        <f>2427000+46119000</f>
        <v>48546000</v>
      </c>
      <c r="E93" s="13"/>
      <c r="F93" s="7"/>
      <c r="G93" s="2"/>
      <c r="H93" s="2"/>
      <c r="I93" s="2"/>
      <c r="J93" s="2"/>
      <c r="K93" s="2"/>
      <c r="L93" s="2"/>
    </row>
    <row r="94" spans="1:12" ht="36" x14ac:dyDescent="0.35">
      <c r="A94" s="10">
        <f t="shared" si="1"/>
        <v>84</v>
      </c>
      <c r="B94" s="10"/>
      <c r="C94" s="8" t="s">
        <v>145</v>
      </c>
      <c r="D94" s="41">
        <f>2651000+50365000</f>
        <v>53016000</v>
      </c>
      <c r="E94" s="13"/>
      <c r="F94" s="7"/>
      <c r="G94" s="2"/>
      <c r="H94" s="2"/>
      <c r="I94" s="2"/>
      <c r="J94" s="2"/>
      <c r="K94" s="2"/>
      <c r="L94" s="2"/>
    </row>
    <row r="95" spans="1:12" ht="36" x14ac:dyDescent="0.35">
      <c r="A95" s="10">
        <f t="shared" si="1"/>
        <v>85</v>
      </c>
      <c r="B95" s="10">
        <v>4</v>
      </c>
      <c r="C95" s="8" t="s">
        <v>37</v>
      </c>
      <c r="D95" s="41">
        <f>4335000+82368000</f>
        <v>86703000</v>
      </c>
      <c r="E95" s="13"/>
      <c r="F95" s="7"/>
      <c r="G95" s="2"/>
      <c r="H95" s="2"/>
      <c r="I95" s="2"/>
      <c r="J95" s="2"/>
      <c r="K95" s="2"/>
      <c r="L95" s="2"/>
    </row>
    <row r="96" spans="1:12" ht="36" x14ac:dyDescent="0.35">
      <c r="A96" s="10">
        <f t="shared" si="1"/>
        <v>86</v>
      </c>
      <c r="B96" s="10">
        <v>4</v>
      </c>
      <c r="C96" s="8" t="s">
        <v>59</v>
      </c>
      <c r="D96" s="41">
        <f>3810000+72390000</f>
        <v>76200000</v>
      </c>
      <c r="E96" s="13"/>
      <c r="F96" s="7"/>
      <c r="G96" s="2"/>
      <c r="H96" s="2"/>
      <c r="I96" s="2"/>
      <c r="J96" s="2"/>
      <c r="K96" s="2"/>
      <c r="L96" s="2"/>
    </row>
    <row r="97" spans="1:12" ht="36" x14ac:dyDescent="0.35">
      <c r="A97" s="10">
        <f t="shared" si="1"/>
        <v>87</v>
      </c>
      <c r="B97" s="9">
        <v>4</v>
      </c>
      <c r="C97" s="8" t="s">
        <v>83</v>
      </c>
      <c r="D97" s="41">
        <f>3810000+72392000</f>
        <v>76202000</v>
      </c>
      <c r="E97" s="13"/>
      <c r="F97" s="7"/>
      <c r="G97" s="2"/>
      <c r="H97" s="2"/>
      <c r="I97" s="2"/>
      <c r="J97" s="2"/>
      <c r="K97" s="2"/>
      <c r="L97" s="2"/>
    </row>
    <row r="98" spans="1:12" ht="36" x14ac:dyDescent="0.35">
      <c r="A98" s="10">
        <f t="shared" si="1"/>
        <v>88</v>
      </c>
      <c r="B98" s="10">
        <v>4</v>
      </c>
      <c r="C98" s="8" t="s">
        <v>60</v>
      </c>
      <c r="D98" s="41">
        <v>76202000</v>
      </c>
      <c r="E98" s="13"/>
      <c r="F98" s="7"/>
      <c r="G98" s="2"/>
      <c r="H98" s="2"/>
      <c r="I98" s="2"/>
      <c r="J98" s="2"/>
      <c r="K98" s="2"/>
      <c r="L98" s="2"/>
    </row>
    <row r="99" spans="1:12" x14ac:dyDescent="0.35">
      <c r="A99" s="10">
        <f t="shared" si="1"/>
        <v>89</v>
      </c>
      <c r="B99" s="10"/>
      <c r="C99" s="8" t="s">
        <v>144</v>
      </c>
      <c r="D99" s="41">
        <f>4718000+89641000</f>
        <v>94359000</v>
      </c>
      <c r="E99" s="13"/>
      <c r="F99" s="7"/>
      <c r="G99" s="2"/>
      <c r="H99" s="2"/>
      <c r="I99" s="2"/>
      <c r="J99" s="2"/>
      <c r="K99" s="2"/>
      <c r="L99" s="2"/>
    </row>
    <row r="100" spans="1:12" ht="36" x14ac:dyDescent="0.35">
      <c r="A100" s="10">
        <f t="shared" si="1"/>
        <v>90</v>
      </c>
      <c r="B100" s="9">
        <v>4</v>
      </c>
      <c r="C100" s="8" t="s">
        <v>36</v>
      </c>
      <c r="D100" s="41">
        <f>650000+12380000</f>
        <v>13030000</v>
      </c>
      <c r="E100" s="13"/>
      <c r="F100" s="7"/>
      <c r="G100" s="2"/>
      <c r="H100" s="2"/>
      <c r="I100" s="2"/>
      <c r="J100" s="2"/>
      <c r="K100" s="2"/>
      <c r="L100" s="2"/>
    </row>
    <row r="101" spans="1:12" ht="36" x14ac:dyDescent="0.35">
      <c r="A101" s="10">
        <f t="shared" si="1"/>
        <v>91</v>
      </c>
      <c r="B101" s="9"/>
      <c r="C101" s="8" t="s">
        <v>146</v>
      </c>
      <c r="D101" s="41">
        <f>20000+310000</f>
        <v>330000</v>
      </c>
      <c r="E101" s="13"/>
      <c r="F101" s="7"/>
      <c r="G101" s="2"/>
      <c r="H101" s="2"/>
      <c r="I101" s="2"/>
      <c r="J101" s="2"/>
      <c r="K101" s="2"/>
      <c r="L101" s="2"/>
    </row>
    <row r="102" spans="1:12" ht="54" x14ac:dyDescent="0.35">
      <c r="A102" s="10">
        <f t="shared" si="1"/>
        <v>92</v>
      </c>
      <c r="B102" s="9">
        <v>4</v>
      </c>
      <c r="C102" s="8" t="s">
        <v>108</v>
      </c>
      <c r="D102" s="41">
        <f>243000+4625000</f>
        <v>4868000</v>
      </c>
      <c r="E102" s="13"/>
      <c r="F102" s="7"/>
      <c r="G102" s="2"/>
      <c r="H102" s="2"/>
      <c r="I102" s="31"/>
      <c r="J102" s="2"/>
      <c r="K102" s="2"/>
      <c r="L102" s="2"/>
    </row>
    <row r="103" spans="1:12" ht="36" x14ac:dyDescent="0.35">
      <c r="A103" s="10">
        <f t="shared" si="1"/>
        <v>93</v>
      </c>
      <c r="B103" s="9"/>
      <c r="C103" s="8" t="s">
        <v>147</v>
      </c>
      <c r="D103" s="41">
        <f>150000+2850000</f>
        <v>3000000</v>
      </c>
      <c r="E103" s="13"/>
      <c r="F103" s="7"/>
      <c r="G103" s="2"/>
      <c r="H103" s="2"/>
      <c r="I103" s="31"/>
      <c r="J103" s="2"/>
      <c r="K103" s="2"/>
      <c r="L103" s="2"/>
    </row>
    <row r="104" spans="1:12" ht="36" x14ac:dyDescent="0.35">
      <c r="A104" s="10">
        <f t="shared" si="1"/>
        <v>94</v>
      </c>
      <c r="B104" s="9"/>
      <c r="C104" s="8" t="s">
        <v>148</v>
      </c>
      <c r="D104" s="41">
        <v>590000</v>
      </c>
      <c r="E104" s="13"/>
      <c r="F104" s="7"/>
      <c r="G104" s="2"/>
      <c r="H104" s="2"/>
      <c r="I104" s="31"/>
      <c r="J104" s="2"/>
      <c r="K104" s="2"/>
      <c r="L104" s="2"/>
    </row>
    <row r="105" spans="1:12" ht="36" x14ac:dyDescent="0.35">
      <c r="A105" s="10">
        <f t="shared" si="1"/>
        <v>95</v>
      </c>
      <c r="B105" s="9"/>
      <c r="C105" s="8" t="s">
        <v>149</v>
      </c>
      <c r="D105" s="41">
        <f>110000+2170000</f>
        <v>2280000</v>
      </c>
      <c r="E105" s="13"/>
      <c r="F105" s="7"/>
      <c r="G105" s="2"/>
      <c r="H105" s="2"/>
      <c r="I105" s="31"/>
      <c r="J105" s="2"/>
      <c r="K105" s="2"/>
      <c r="L105" s="2"/>
    </row>
    <row r="106" spans="1:12" ht="36" x14ac:dyDescent="0.35">
      <c r="A106" s="10">
        <f t="shared" si="1"/>
        <v>96</v>
      </c>
      <c r="B106" s="9"/>
      <c r="C106" s="8" t="s">
        <v>150</v>
      </c>
      <c r="D106" s="41">
        <v>1000000</v>
      </c>
      <c r="E106" s="13"/>
      <c r="F106" s="7"/>
      <c r="G106" s="2"/>
      <c r="H106" s="2"/>
      <c r="I106" s="31"/>
      <c r="J106" s="2"/>
      <c r="K106" s="2"/>
      <c r="L106" s="2"/>
    </row>
    <row r="107" spans="1:12" ht="36" x14ac:dyDescent="0.35">
      <c r="A107" s="10">
        <f t="shared" si="1"/>
        <v>97</v>
      </c>
      <c r="B107" s="9"/>
      <c r="C107" s="8" t="s">
        <v>151</v>
      </c>
      <c r="D107" s="41">
        <f>70000+1250000</f>
        <v>1320000</v>
      </c>
      <c r="E107" s="13"/>
      <c r="F107" s="7"/>
      <c r="G107" s="2"/>
      <c r="H107" s="2"/>
      <c r="I107" s="31"/>
      <c r="J107" s="2"/>
      <c r="K107" s="2"/>
      <c r="L107" s="2"/>
    </row>
    <row r="108" spans="1:12" ht="36" x14ac:dyDescent="0.35">
      <c r="A108" s="10">
        <f t="shared" si="1"/>
        <v>98</v>
      </c>
      <c r="B108" s="9"/>
      <c r="C108" s="8" t="s">
        <v>152</v>
      </c>
      <c r="D108" s="41">
        <f>100000+1900000</f>
        <v>2000000</v>
      </c>
      <c r="E108" s="13"/>
      <c r="F108" s="7"/>
      <c r="G108" s="2"/>
      <c r="H108" s="2"/>
      <c r="I108" s="31"/>
      <c r="J108" s="2"/>
      <c r="K108" s="2"/>
      <c r="L108" s="2"/>
    </row>
    <row r="109" spans="1:12" x14ac:dyDescent="0.35">
      <c r="A109" s="10">
        <f t="shared" si="1"/>
        <v>99</v>
      </c>
      <c r="B109" s="9"/>
      <c r="C109" s="8" t="s">
        <v>153</v>
      </c>
      <c r="D109" s="41">
        <v>2000000</v>
      </c>
      <c r="E109" s="13"/>
      <c r="F109" s="7"/>
      <c r="G109" s="2"/>
      <c r="H109" s="2"/>
      <c r="I109" s="31"/>
      <c r="J109" s="2"/>
      <c r="K109" s="2"/>
      <c r="L109" s="2"/>
    </row>
    <row r="110" spans="1:12" ht="36" x14ac:dyDescent="0.35">
      <c r="A110" s="10">
        <f t="shared" si="1"/>
        <v>100</v>
      </c>
      <c r="B110" s="9"/>
      <c r="C110" s="8" t="s">
        <v>154</v>
      </c>
      <c r="D110" s="41">
        <f>70000+1330000</f>
        <v>1400000</v>
      </c>
      <c r="E110" s="13"/>
      <c r="F110" s="7"/>
      <c r="G110" s="2"/>
      <c r="H110" s="2"/>
      <c r="I110" s="31"/>
      <c r="J110" s="2"/>
      <c r="K110" s="2"/>
      <c r="L110" s="2"/>
    </row>
    <row r="111" spans="1:12" ht="36" x14ac:dyDescent="0.35">
      <c r="A111" s="10">
        <f t="shared" si="1"/>
        <v>101</v>
      </c>
      <c r="B111" s="9"/>
      <c r="C111" s="8" t="s">
        <v>155</v>
      </c>
      <c r="D111" s="41">
        <f>90000+1660000</f>
        <v>1750000</v>
      </c>
      <c r="E111" s="13"/>
      <c r="F111" s="7"/>
      <c r="G111" s="2"/>
      <c r="H111" s="2"/>
      <c r="I111" s="31"/>
      <c r="J111" s="2"/>
      <c r="K111" s="2"/>
      <c r="L111" s="2"/>
    </row>
    <row r="112" spans="1:12" ht="36" x14ac:dyDescent="0.35">
      <c r="A112" s="10">
        <f t="shared" si="1"/>
        <v>102</v>
      </c>
      <c r="B112" s="9"/>
      <c r="C112" s="8" t="s">
        <v>156</v>
      </c>
      <c r="D112" s="41">
        <v>2000000</v>
      </c>
      <c r="E112" s="13"/>
      <c r="F112" s="7"/>
      <c r="G112" s="2"/>
      <c r="H112" s="2"/>
      <c r="I112" s="31"/>
      <c r="J112" s="2"/>
      <c r="K112" s="2"/>
      <c r="L112" s="2"/>
    </row>
    <row r="113" spans="1:12" ht="36" x14ac:dyDescent="0.35">
      <c r="A113" s="10">
        <f t="shared" si="1"/>
        <v>103</v>
      </c>
      <c r="B113" s="9"/>
      <c r="C113" s="8" t="s">
        <v>157</v>
      </c>
      <c r="D113" s="41">
        <f>80000+1550000</f>
        <v>1630000</v>
      </c>
      <c r="E113" s="13"/>
      <c r="F113" s="7"/>
      <c r="G113" s="2"/>
      <c r="H113" s="2"/>
      <c r="I113" s="31"/>
      <c r="J113" s="2"/>
      <c r="K113" s="2"/>
      <c r="L113" s="2"/>
    </row>
    <row r="114" spans="1:12" ht="54" x14ac:dyDescent="0.35">
      <c r="A114" s="10">
        <f t="shared" si="1"/>
        <v>104</v>
      </c>
      <c r="B114" s="9"/>
      <c r="C114" s="8" t="s">
        <v>158</v>
      </c>
      <c r="D114" s="41">
        <v>5000000</v>
      </c>
      <c r="E114" s="13"/>
      <c r="F114" s="7"/>
      <c r="G114" s="2"/>
      <c r="H114" s="2"/>
      <c r="I114" s="31"/>
      <c r="J114" s="2"/>
      <c r="K114" s="2"/>
      <c r="L114" s="2"/>
    </row>
    <row r="115" spans="1:12" ht="54" x14ac:dyDescent="0.35">
      <c r="A115" s="10">
        <f t="shared" si="1"/>
        <v>105</v>
      </c>
      <c r="B115" s="9"/>
      <c r="C115" s="8" t="s">
        <v>159</v>
      </c>
      <c r="D115" s="41">
        <v>2000000</v>
      </c>
      <c r="E115" s="13"/>
      <c r="F115" s="7"/>
      <c r="G115" s="2"/>
      <c r="H115" s="2"/>
      <c r="I115" s="31"/>
      <c r="J115" s="2"/>
      <c r="K115" s="2"/>
      <c r="L115" s="2"/>
    </row>
    <row r="116" spans="1:12" ht="36" x14ac:dyDescent="0.35">
      <c r="A116" s="10">
        <f t="shared" si="1"/>
        <v>106</v>
      </c>
      <c r="B116" s="10">
        <v>4</v>
      </c>
      <c r="C116" s="8" t="s">
        <v>63</v>
      </c>
      <c r="D116" s="41">
        <f>4232000+80406000</f>
        <v>84638000</v>
      </c>
      <c r="E116" s="13"/>
      <c r="F116" s="7"/>
      <c r="G116" s="2"/>
      <c r="H116" s="2"/>
      <c r="I116" s="31"/>
      <c r="J116" s="2"/>
      <c r="K116" s="2"/>
      <c r="L116" s="2"/>
    </row>
    <row r="117" spans="1:12" ht="36" x14ac:dyDescent="0.35">
      <c r="A117" s="10">
        <f t="shared" si="1"/>
        <v>107</v>
      </c>
      <c r="B117" s="10">
        <v>4</v>
      </c>
      <c r="C117" s="8" t="s">
        <v>64</v>
      </c>
      <c r="D117" s="41">
        <f>1950000+37048000</f>
        <v>38998000</v>
      </c>
      <c r="E117" s="13"/>
      <c r="F117" s="7"/>
      <c r="G117" s="2"/>
      <c r="H117" s="2"/>
      <c r="I117" s="31"/>
      <c r="J117" s="2"/>
      <c r="K117" s="2"/>
      <c r="L117" s="2"/>
    </row>
    <row r="118" spans="1:12" ht="54" x14ac:dyDescent="0.35">
      <c r="A118" s="10">
        <f t="shared" si="1"/>
        <v>108</v>
      </c>
      <c r="B118" s="9">
        <v>4</v>
      </c>
      <c r="C118" s="8" t="s">
        <v>38</v>
      </c>
      <c r="D118" s="41">
        <f>1002000+19034000</f>
        <v>20036000</v>
      </c>
      <c r="E118" s="13"/>
      <c r="F118" s="7"/>
      <c r="G118" s="2"/>
      <c r="H118" s="2"/>
      <c r="I118" s="31"/>
      <c r="J118" s="2"/>
      <c r="K118" s="2"/>
      <c r="L118" s="2"/>
    </row>
    <row r="119" spans="1:12" x14ac:dyDescent="0.35">
      <c r="A119" s="10">
        <f t="shared" si="1"/>
        <v>109</v>
      </c>
      <c r="B119" s="9"/>
      <c r="C119" s="8" t="s">
        <v>160</v>
      </c>
      <c r="D119" s="41">
        <v>2000000</v>
      </c>
      <c r="E119" s="13"/>
      <c r="F119" s="7"/>
      <c r="G119" s="2"/>
      <c r="H119" s="2"/>
      <c r="I119" s="31"/>
      <c r="J119" s="2"/>
      <c r="K119" s="2"/>
      <c r="L119" s="2"/>
    </row>
    <row r="120" spans="1:12" ht="36" x14ac:dyDescent="0.35">
      <c r="A120" s="10">
        <f t="shared" si="1"/>
        <v>110</v>
      </c>
      <c r="B120" s="9"/>
      <c r="C120" s="8" t="s">
        <v>161</v>
      </c>
      <c r="D120" s="41">
        <f>1190000+60000</f>
        <v>1250000</v>
      </c>
      <c r="E120" s="13"/>
      <c r="F120" s="7"/>
      <c r="G120" s="2"/>
      <c r="H120" s="2"/>
      <c r="I120" s="31"/>
      <c r="J120" s="2"/>
      <c r="K120" s="2"/>
      <c r="L120" s="2"/>
    </row>
    <row r="121" spans="1:12" ht="36" x14ac:dyDescent="0.35">
      <c r="A121" s="10">
        <f t="shared" si="1"/>
        <v>111</v>
      </c>
      <c r="B121" s="9"/>
      <c r="C121" s="8" t="s">
        <v>162</v>
      </c>
      <c r="D121" s="41">
        <v>1250000</v>
      </c>
      <c r="E121" s="13"/>
      <c r="F121" s="7"/>
      <c r="G121" s="2"/>
      <c r="H121" s="2"/>
      <c r="I121" s="31"/>
      <c r="J121" s="2"/>
      <c r="K121" s="2"/>
      <c r="L121" s="2"/>
    </row>
    <row r="122" spans="1:12" ht="54" x14ac:dyDescent="0.35">
      <c r="A122" s="10">
        <f t="shared" si="1"/>
        <v>112</v>
      </c>
      <c r="B122" s="10">
        <v>10</v>
      </c>
      <c r="C122" s="12" t="s">
        <v>67</v>
      </c>
      <c r="D122" s="41">
        <f>8500000+161500000</f>
        <v>170000000</v>
      </c>
      <c r="E122" s="13"/>
      <c r="F122" s="7"/>
    </row>
    <row r="123" spans="1:12" ht="54" x14ac:dyDescent="0.35">
      <c r="A123" s="10">
        <f t="shared" si="1"/>
        <v>113</v>
      </c>
      <c r="B123" s="9">
        <v>10</v>
      </c>
      <c r="C123" s="12" t="s">
        <v>2</v>
      </c>
      <c r="D123" s="41">
        <f>6000000+114000000</f>
        <v>120000000</v>
      </c>
      <c r="E123" s="13"/>
      <c r="F123" s="7"/>
    </row>
    <row r="124" spans="1:12" ht="72" x14ac:dyDescent="0.35">
      <c r="A124" s="10">
        <f t="shared" si="1"/>
        <v>114</v>
      </c>
      <c r="B124" s="10">
        <v>10</v>
      </c>
      <c r="C124" s="12" t="s">
        <v>3</v>
      </c>
      <c r="D124" s="41">
        <f>2730000+51890000</f>
        <v>54620000</v>
      </c>
      <c r="E124" s="13"/>
      <c r="F124" s="7"/>
    </row>
    <row r="125" spans="1:12" ht="54" x14ac:dyDescent="0.35">
      <c r="A125" s="10">
        <f t="shared" si="1"/>
        <v>115</v>
      </c>
      <c r="B125" s="10">
        <v>10</v>
      </c>
      <c r="C125" s="12" t="s">
        <v>110</v>
      </c>
      <c r="D125" s="41">
        <f>6760000+128490000</f>
        <v>135250000</v>
      </c>
      <c r="E125" s="13"/>
      <c r="F125" s="7"/>
    </row>
    <row r="126" spans="1:12" ht="72" x14ac:dyDescent="0.35">
      <c r="A126" s="10">
        <f t="shared" si="1"/>
        <v>116</v>
      </c>
      <c r="B126" s="9">
        <v>10</v>
      </c>
      <c r="C126" s="12" t="s">
        <v>111</v>
      </c>
      <c r="D126" s="41">
        <f>5250000+99750000</f>
        <v>105000000</v>
      </c>
      <c r="E126" s="13"/>
      <c r="F126" s="7"/>
    </row>
    <row r="127" spans="1:12" ht="36" x14ac:dyDescent="0.35">
      <c r="A127" s="10">
        <f t="shared" si="1"/>
        <v>117</v>
      </c>
      <c r="B127" s="9"/>
      <c r="C127" s="12" t="s">
        <v>114</v>
      </c>
      <c r="D127" s="41">
        <v>100000000</v>
      </c>
      <c r="E127" s="13"/>
      <c r="F127" s="7"/>
    </row>
    <row r="128" spans="1:12" x14ac:dyDescent="0.35">
      <c r="A128" s="10">
        <f t="shared" si="1"/>
        <v>118</v>
      </c>
      <c r="B128" s="10">
        <v>3</v>
      </c>
      <c r="C128" s="12" t="s">
        <v>74</v>
      </c>
      <c r="D128" s="41">
        <v>800000000</v>
      </c>
      <c r="E128" s="13"/>
      <c r="F128" s="7"/>
    </row>
    <row r="129" spans="1:6" x14ac:dyDescent="0.35">
      <c r="A129" s="10">
        <f t="shared" si="1"/>
        <v>119</v>
      </c>
      <c r="B129" s="9">
        <v>3</v>
      </c>
      <c r="C129" s="12" t="s">
        <v>75</v>
      </c>
      <c r="D129" s="41">
        <f>51600000+980420000</f>
        <v>1032020000</v>
      </c>
      <c r="E129" s="13"/>
      <c r="F129" s="7"/>
    </row>
    <row r="130" spans="1:6" x14ac:dyDescent="0.35">
      <c r="A130" s="10">
        <f t="shared" si="1"/>
        <v>120</v>
      </c>
      <c r="B130" s="9">
        <v>4</v>
      </c>
      <c r="C130" s="12" t="s">
        <v>109</v>
      </c>
      <c r="D130" s="41">
        <f>3711000+70512000</f>
        <v>74223000</v>
      </c>
      <c r="E130" s="13"/>
      <c r="F130" s="7"/>
    </row>
    <row r="131" spans="1:6" ht="72" x14ac:dyDescent="0.35">
      <c r="A131" s="10">
        <f t="shared" si="1"/>
        <v>121</v>
      </c>
      <c r="B131" s="9">
        <v>11</v>
      </c>
      <c r="C131" s="12" t="s">
        <v>76</v>
      </c>
      <c r="D131" s="41">
        <f>2411230000+45813190000</f>
        <v>48224420000</v>
      </c>
      <c r="E131" s="13"/>
      <c r="F131" s="7"/>
    </row>
    <row r="132" spans="1:6" ht="54" x14ac:dyDescent="0.35">
      <c r="A132" s="10">
        <f t="shared" si="1"/>
        <v>122</v>
      </c>
      <c r="B132" s="10">
        <v>11</v>
      </c>
      <c r="C132" s="12" t="s">
        <v>95</v>
      </c>
      <c r="D132" s="41">
        <f>39580000+752030000</f>
        <v>791610000</v>
      </c>
      <c r="E132" s="13"/>
      <c r="F132" s="7"/>
    </row>
    <row r="133" spans="1:6" ht="36" x14ac:dyDescent="0.35">
      <c r="A133" s="10">
        <f t="shared" si="1"/>
        <v>123</v>
      </c>
      <c r="B133" s="10">
        <v>11</v>
      </c>
      <c r="C133" s="12" t="s">
        <v>77</v>
      </c>
      <c r="D133" s="41">
        <f>145000000+2755000000</f>
        <v>2900000000</v>
      </c>
      <c r="E133" s="13"/>
      <c r="F133" s="7"/>
    </row>
    <row r="134" spans="1:6" ht="72" x14ac:dyDescent="0.35">
      <c r="A134" s="10">
        <f t="shared" si="1"/>
        <v>124</v>
      </c>
      <c r="B134" s="10">
        <v>11</v>
      </c>
      <c r="C134" s="12" t="s">
        <v>78</v>
      </c>
      <c r="D134" s="41">
        <f>10690000+203090000</f>
        <v>213780000</v>
      </c>
      <c r="E134" s="13"/>
      <c r="F134" s="7"/>
    </row>
    <row r="135" spans="1:6" ht="57" customHeight="1" x14ac:dyDescent="0.35">
      <c r="A135" s="10">
        <f t="shared" si="1"/>
        <v>125</v>
      </c>
      <c r="B135" s="10">
        <v>11</v>
      </c>
      <c r="C135" s="12" t="s">
        <v>84</v>
      </c>
      <c r="D135" s="41">
        <f>1110000+21110000</f>
        <v>22220000</v>
      </c>
      <c r="E135" s="13"/>
      <c r="F135" s="7"/>
    </row>
    <row r="136" spans="1:6" ht="54" x14ac:dyDescent="0.35">
      <c r="A136" s="10">
        <f t="shared" si="1"/>
        <v>126</v>
      </c>
      <c r="B136" s="9">
        <v>11</v>
      </c>
      <c r="C136" s="12" t="s">
        <v>85</v>
      </c>
      <c r="D136" s="41">
        <f>1150000+21820000</f>
        <v>22970000</v>
      </c>
      <c r="E136" s="13"/>
      <c r="F136" s="7"/>
    </row>
    <row r="137" spans="1:6" ht="54" x14ac:dyDescent="0.35">
      <c r="A137" s="10">
        <f t="shared" si="1"/>
        <v>127</v>
      </c>
      <c r="B137" s="10">
        <v>11</v>
      </c>
      <c r="C137" s="12" t="s">
        <v>86</v>
      </c>
      <c r="D137" s="41">
        <f>1200000+22710000</f>
        <v>23910000</v>
      </c>
      <c r="E137" s="13"/>
      <c r="F137" s="7"/>
    </row>
    <row r="138" spans="1:6" ht="72" x14ac:dyDescent="0.35">
      <c r="A138" s="10">
        <f t="shared" si="1"/>
        <v>128</v>
      </c>
      <c r="B138" s="10">
        <v>11</v>
      </c>
      <c r="C138" s="12" t="s">
        <v>79</v>
      </c>
      <c r="D138" s="41">
        <f>17750000+337250000</f>
        <v>355000000</v>
      </c>
      <c r="E138" s="13"/>
      <c r="F138" s="7"/>
    </row>
    <row r="139" spans="1:6" ht="54" x14ac:dyDescent="0.35">
      <c r="A139" s="10">
        <f t="shared" si="1"/>
        <v>129</v>
      </c>
      <c r="B139" s="9">
        <v>11</v>
      </c>
      <c r="C139" s="12" t="s">
        <v>80</v>
      </c>
      <c r="D139" s="41">
        <f>23900000+454000000</f>
        <v>477900000</v>
      </c>
      <c r="E139" s="13"/>
      <c r="F139" s="7"/>
    </row>
    <row r="140" spans="1:6" ht="36" x14ac:dyDescent="0.35">
      <c r="A140" s="10">
        <f t="shared" si="1"/>
        <v>130</v>
      </c>
      <c r="B140" s="10">
        <v>11</v>
      </c>
      <c r="C140" s="12" t="s">
        <v>81</v>
      </c>
      <c r="D140" s="41">
        <f>9760000+185430000</f>
        <v>195190000</v>
      </c>
      <c r="E140" s="13"/>
      <c r="F140" s="7"/>
    </row>
    <row r="141" spans="1:6" ht="36" x14ac:dyDescent="0.35">
      <c r="A141" s="10">
        <f t="shared" ref="A141:A158" si="2">A140+1</f>
        <v>131</v>
      </c>
      <c r="B141" s="10">
        <v>11</v>
      </c>
      <c r="C141" s="12" t="s">
        <v>82</v>
      </c>
      <c r="D141" s="41">
        <f>14440000+274260000</f>
        <v>288700000</v>
      </c>
      <c r="E141" s="13"/>
      <c r="F141" s="7"/>
    </row>
    <row r="142" spans="1:6" ht="36" x14ac:dyDescent="0.35">
      <c r="A142" s="10">
        <f t="shared" si="2"/>
        <v>132</v>
      </c>
      <c r="B142" s="9">
        <v>11</v>
      </c>
      <c r="C142" s="23" t="s">
        <v>88</v>
      </c>
      <c r="D142" s="41">
        <f>4881000+92732000</f>
        <v>97613000</v>
      </c>
      <c r="E142" s="13"/>
      <c r="F142" s="7"/>
    </row>
    <row r="143" spans="1:6" ht="36" x14ac:dyDescent="0.35">
      <c r="A143" s="10">
        <f t="shared" si="2"/>
        <v>133</v>
      </c>
      <c r="B143" s="9"/>
      <c r="C143" s="23" t="s">
        <v>115</v>
      </c>
      <c r="D143" s="41">
        <f>620000+11840000</f>
        <v>12460000</v>
      </c>
      <c r="E143" s="13"/>
      <c r="F143" s="7"/>
    </row>
    <row r="144" spans="1:6" ht="36" x14ac:dyDescent="0.35">
      <c r="A144" s="10">
        <f t="shared" si="2"/>
        <v>134</v>
      </c>
      <c r="B144" s="10">
        <v>11</v>
      </c>
      <c r="C144" s="12" t="s">
        <v>91</v>
      </c>
      <c r="D144" s="41">
        <f>5202000+98842000</f>
        <v>104044000</v>
      </c>
      <c r="E144" s="13"/>
      <c r="F144" s="7"/>
    </row>
    <row r="145" spans="1:6" ht="36" x14ac:dyDescent="0.35">
      <c r="A145" s="10">
        <f t="shared" si="2"/>
        <v>135</v>
      </c>
      <c r="C145" s="12" t="s">
        <v>116</v>
      </c>
      <c r="D145" s="42">
        <f>240000+4510000</f>
        <v>4750000</v>
      </c>
    </row>
    <row r="146" spans="1:6" ht="36" x14ac:dyDescent="0.35">
      <c r="A146" s="10">
        <f t="shared" si="2"/>
        <v>136</v>
      </c>
      <c r="B146" s="9"/>
      <c r="C146" s="12" t="s">
        <v>117</v>
      </c>
      <c r="D146" s="41">
        <f>180000+3490000</f>
        <v>3670000</v>
      </c>
      <c r="E146" s="13"/>
      <c r="F146" s="7"/>
    </row>
    <row r="147" spans="1:6" ht="36" x14ac:dyDescent="0.35">
      <c r="A147" s="10">
        <f t="shared" si="2"/>
        <v>137</v>
      </c>
      <c r="B147" s="9"/>
      <c r="C147" s="12" t="s">
        <v>118</v>
      </c>
      <c r="D147" s="41">
        <f>210000+3990000</f>
        <v>4200000</v>
      </c>
      <c r="E147" s="13"/>
      <c r="F147" s="7"/>
    </row>
    <row r="148" spans="1:6" ht="36" x14ac:dyDescent="0.35">
      <c r="A148" s="10">
        <f t="shared" si="2"/>
        <v>138</v>
      </c>
      <c r="B148" s="9"/>
      <c r="C148" s="12" t="s">
        <v>120</v>
      </c>
      <c r="D148" s="41">
        <f>150000+2890000</f>
        <v>3040000</v>
      </c>
      <c r="E148" s="13"/>
      <c r="F148" s="7"/>
    </row>
    <row r="149" spans="1:6" ht="36" x14ac:dyDescent="0.35">
      <c r="A149" s="10">
        <f t="shared" si="2"/>
        <v>139</v>
      </c>
      <c r="B149" s="9"/>
      <c r="C149" s="12" t="s">
        <v>119</v>
      </c>
      <c r="D149" s="41">
        <f>130000+2380000</f>
        <v>2510000</v>
      </c>
      <c r="E149" s="13"/>
      <c r="F149" s="7"/>
    </row>
    <row r="150" spans="1:6" ht="36" x14ac:dyDescent="0.35">
      <c r="A150" s="10">
        <f t="shared" si="2"/>
        <v>140</v>
      </c>
      <c r="B150" s="9"/>
      <c r="C150" s="12" t="s">
        <v>121</v>
      </c>
      <c r="D150" s="41">
        <f>4630000+88040000</f>
        <v>92670000</v>
      </c>
      <c r="E150" s="13"/>
      <c r="F150" s="7"/>
    </row>
    <row r="151" spans="1:6" ht="36" x14ac:dyDescent="0.35">
      <c r="A151" s="10">
        <f t="shared" si="2"/>
        <v>141</v>
      </c>
      <c r="B151" s="9"/>
      <c r="C151" s="12" t="s">
        <v>122</v>
      </c>
      <c r="D151" s="41">
        <f>2500000+47500000</f>
        <v>50000000</v>
      </c>
      <c r="E151" s="13"/>
      <c r="F151" s="7"/>
    </row>
    <row r="152" spans="1:6" ht="36" x14ac:dyDescent="0.35">
      <c r="A152" s="10">
        <f t="shared" si="2"/>
        <v>142</v>
      </c>
      <c r="B152" s="10">
        <v>11</v>
      </c>
      <c r="C152" s="12" t="s">
        <v>87</v>
      </c>
      <c r="D152" s="41">
        <f>3294000+62579000</f>
        <v>65873000</v>
      </c>
      <c r="E152" s="13"/>
      <c r="F152" s="7"/>
    </row>
    <row r="153" spans="1:6" ht="36" x14ac:dyDescent="0.35">
      <c r="A153" s="10">
        <f t="shared" si="2"/>
        <v>143</v>
      </c>
      <c r="B153" s="9">
        <v>8</v>
      </c>
      <c r="C153" s="34" t="s">
        <v>101</v>
      </c>
      <c r="D153" s="41">
        <f>57000+1083000</f>
        <v>1140000</v>
      </c>
      <c r="E153" s="13"/>
      <c r="F153" s="7"/>
    </row>
    <row r="154" spans="1:6" ht="54" x14ac:dyDescent="0.35">
      <c r="A154" s="10">
        <f t="shared" si="2"/>
        <v>144</v>
      </c>
      <c r="B154" s="9">
        <v>8</v>
      </c>
      <c r="C154" s="34" t="s">
        <v>102</v>
      </c>
      <c r="D154" s="41">
        <f>3790000+200000</f>
        <v>3990000</v>
      </c>
      <c r="E154" s="13"/>
      <c r="F154" s="7"/>
    </row>
    <row r="155" spans="1:6" ht="36" x14ac:dyDescent="0.35">
      <c r="A155" s="10">
        <f t="shared" si="2"/>
        <v>145</v>
      </c>
      <c r="B155" s="9">
        <v>8</v>
      </c>
      <c r="C155" s="34" t="s">
        <v>103</v>
      </c>
      <c r="D155" s="41">
        <f>176000+3362000</f>
        <v>3538000</v>
      </c>
      <c r="E155" s="13"/>
      <c r="F155" s="7"/>
    </row>
    <row r="156" spans="1:6" ht="54" x14ac:dyDescent="0.35">
      <c r="A156" s="10">
        <f t="shared" si="2"/>
        <v>146</v>
      </c>
      <c r="B156" s="9">
        <v>8</v>
      </c>
      <c r="C156" s="34" t="s">
        <v>104</v>
      </c>
      <c r="D156" s="41">
        <f>369000+7019000</f>
        <v>7388000</v>
      </c>
      <c r="E156" s="13"/>
      <c r="F156" s="7"/>
    </row>
    <row r="157" spans="1:6" ht="36" x14ac:dyDescent="0.35">
      <c r="A157" s="10">
        <f t="shared" si="2"/>
        <v>147</v>
      </c>
      <c r="B157" s="9">
        <v>8</v>
      </c>
      <c r="C157" s="34" t="s">
        <v>105</v>
      </c>
      <c r="D157" s="41">
        <f>629000+11951000</f>
        <v>12580000</v>
      </c>
      <c r="E157" s="13"/>
      <c r="F157" s="7"/>
    </row>
    <row r="158" spans="1:6" ht="54" x14ac:dyDescent="0.35">
      <c r="A158" s="10">
        <f t="shared" si="2"/>
        <v>148</v>
      </c>
      <c r="B158" s="9">
        <v>8</v>
      </c>
      <c r="C158" s="39" t="s">
        <v>106</v>
      </c>
      <c r="D158" s="43">
        <f>169000+3215000</f>
        <v>3384000</v>
      </c>
      <c r="E158" s="13"/>
      <c r="F158" s="7"/>
    </row>
    <row r="159" spans="1:6" ht="36" x14ac:dyDescent="0.35">
      <c r="A159" s="10">
        <v>149</v>
      </c>
      <c r="B159" s="38"/>
      <c r="C159" s="39" t="s">
        <v>169</v>
      </c>
      <c r="D159" s="44">
        <v>126119212</v>
      </c>
      <c r="E159" s="13"/>
      <c r="F159" s="7"/>
    </row>
    <row r="160" spans="1:6" ht="54" x14ac:dyDescent="0.35">
      <c r="A160" s="10">
        <v>150</v>
      </c>
      <c r="B160" s="38"/>
      <c r="C160" s="34" t="s">
        <v>170</v>
      </c>
      <c r="D160" s="45">
        <v>296506788</v>
      </c>
      <c r="E160" s="13"/>
      <c r="F160" s="7"/>
    </row>
    <row r="161" spans="1:14" ht="126" x14ac:dyDescent="0.35">
      <c r="A161" s="9"/>
      <c r="B161" s="9"/>
      <c r="C161" s="40" t="s">
        <v>100</v>
      </c>
      <c r="D161" s="46">
        <f>SUM(D162:D173)</f>
        <v>1040124700</v>
      </c>
      <c r="E161" s="13"/>
      <c r="F161" s="7"/>
    </row>
    <row r="162" spans="1:14" ht="36" x14ac:dyDescent="0.35">
      <c r="A162" s="9">
        <v>1</v>
      </c>
      <c r="B162" s="9">
        <v>7</v>
      </c>
      <c r="C162" s="12" t="s">
        <v>68</v>
      </c>
      <c r="D162" s="41">
        <f>970000+18410000</f>
        <v>19380000</v>
      </c>
      <c r="E162" s="13"/>
      <c r="F162" s="7"/>
      <c r="M162" s="16"/>
      <c r="N162" s="16"/>
    </row>
    <row r="163" spans="1:14" ht="36" x14ac:dyDescent="0.35">
      <c r="A163" s="9">
        <v>2</v>
      </c>
      <c r="B163" s="9">
        <v>7</v>
      </c>
      <c r="C163" s="12" t="s">
        <v>69</v>
      </c>
      <c r="D163" s="41">
        <f>860000+16440000</f>
        <v>17300000</v>
      </c>
      <c r="E163" s="13"/>
      <c r="F163" s="7"/>
      <c r="M163" s="16"/>
      <c r="N163" s="16"/>
    </row>
    <row r="164" spans="1:14" ht="36" x14ac:dyDescent="0.35">
      <c r="A164" s="9">
        <v>3</v>
      </c>
      <c r="B164" s="9"/>
      <c r="C164" s="12" t="s">
        <v>125</v>
      </c>
      <c r="D164" s="41">
        <f>510000+9750000</f>
        <v>10260000</v>
      </c>
      <c r="E164" s="13"/>
      <c r="F164" s="7"/>
      <c r="M164" s="16"/>
      <c r="N164" s="16"/>
    </row>
    <row r="165" spans="1:14" ht="36" x14ac:dyDescent="0.35">
      <c r="A165" s="9">
        <v>4</v>
      </c>
      <c r="B165" s="9">
        <v>6</v>
      </c>
      <c r="C165" s="12" t="s">
        <v>70</v>
      </c>
      <c r="D165" s="41">
        <f>200000000</f>
        <v>200000000</v>
      </c>
      <c r="E165" s="13"/>
      <c r="F165" s="7"/>
      <c r="M165" s="16"/>
      <c r="N165" s="16"/>
    </row>
    <row r="166" spans="1:14" ht="54" x14ac:dyDescent="0.35">
      <c r="A166" s="9">
        <v>5</v>
      </c>
      <c r="B166" s="9"/>
      <c r="C166" s="12" t="s">
        <v>123</v>
      </c>
      <c r="D166" s="41">
        <f>980000+18700000</f>
        <v>19680000</v>
      </c>
      <c r="E166" s="13"/>
      <c r="F166" s="7"/>
      <c r="M166" s="16"/>
      <c r="N166" s="16"/>
    </row>
    <row r="167" spans="1:14" ht="54" x14ac:dyDescent="0.35">
      <c r="A167" s="9">
        <v>6</v>
      </c>
      <c r="B167" s="9">
        <v>6</v>
      </c>
      <c r="C167" s="12" t="s">
        <v>4</v>
      </c>
      <c r="D167" s="41">
        <v>63330000</v>
      </c>
      <c r="E167" s="13"/>
      <c r="F167" s="7"/>
      <c r="M167" s="16"/>
      <c r="N167" s="16"/>
    </row>
    <row r="168" spans="1:14" ht="54" x14ac:dyDescent="0.35">
      <c r="A168" s="9">
        <v>7</v>
      </c>
      <c r="B168" s="9">
        <v>6</v>
      </c>
      <c r="C168" s="12" t="s">
        <v>124</v>
      </c>
      <c r="D168" s="41">
        <f>380000+7240000</f>
        <v>7620000</v>
      </c>
      <c r="E168" s="13"/>
      <c r="F168" s="7"/>
      <c r="M168" s="16"/>
      <c r="N168" s="16"/>
    </row>
    <row r="169" spans="1:14" ht="36" x14ac:dyDescent="0.35">
      <c r="A169" s="9">
        <v>8</v>
      </c>
      <c r="B169" s="9">
        <v>6</v>
      </c>
      <c r="C169" s="12" t="s">
        <v>71</v>
      </c>
      <c r="D169" s="41">
        <f>3990000+75910000</f>
        <v>79900000</v>
      </c>
      <c r="E169" s="13"/>
      <c r="F169" s="7"/>
      <c r="M169" s="16"/>
      <c r="N169" s="16"/>
    </row>
    <row r="170" spans="1:14" ht="54" x14ac:dyDescent="0.35">
      <c r="A170" s="9">
        <v>9</v>
      </c>
      <c r="B170" s="9">
        <v>6</v>
      </c>
      <c r="C170" s="12" t="s">
        <v>72</v>
      </c>
      <c r="D170" s="41">
        <f>2280000+43260000</f>
        <v>45540000</v>
      </c>
      <c r="E170" s="13"/>
      <c r="F170" s="7"/>
      <c r="M170" s="16"/>
      <c r="N170" s="16"/>
    </row>
    <row r="171" spans="1:14" ht="59.25" customHeight="1" x14ac:dyDescent="0.35">
      <c r="A171" s="35">
        <v>10</v>
      </c>
      <c r="B171" s="35">
        <v>8</v>
      </c>
      <c r="C171" s="36" t="s">
        <v>73</v>
      </c>
      <c r="D171" s="43">
        <f>13270000+252180000</f>
        <v>265450000</v>
      </c>
      <c r="E171" s="13"/>
      <c r="F171" s="7"/>
      <c r="M171" s="16"/>
      <c r="N171" s="16"/>
    </row>
    <row r="172" spans="1:14" s="17" customFormat="1" ht="54" x14ac:dyDescent="0.3">
      <c r="A172" s="37">
        <v>11</v>
      </c>
      <c r="B172" s="12">
        <v>9</v>
      </c>
      <c r="C172" s="12" t="s">
        <v>167</v>
      </c>
      <c r="D172" s="47">
        <v>52216056</v>
      </c>
      <c r="E172" s="13"/>
      <c r="F172" s="7"/>
      <c r="G172" s="25"/>
    </row>
    <row r="173" spans="1:14" s="17" customFormat="1" ht="54" x14ac:dyDescent="0.3">
      <c r="A173" s="37">
        <v>12</v>
      </c>
      <c r="B173" s="12">
        <v>7</v>
      </c>
      <c r="C173" s="12" t="s">
        <v>168</v>
      </c>
      <c r="D173" s="47">
        <v>259448644</v>
      </c>
      <c r="E173" s="13"/>
      <c r="F173" s="7"/>
      <c r="G173" s="25"/>
    </row>
    <row r="174" spans="1:14" s="17" customFormat="1" ht="14.4" x14ac:dyDescent="0.3">
      <c r="D174" s="24"/>
      <c r="E174" s="25"/>
      <c r="F174" s="25"/>
      <c r="G174" s="25"/>
    </row>
    <row r="175" spans="1:14" s="17" customFormat="1" ht="14.4" x14ac:dyDescent="0.3">
      <c r="D175" s="24"/>
      <c r="E175" s="25"/>
      <c r="F175" s="25"/>
      <c r="G175" s="25"/>
    </row>
    <row r="176" spans="1:14" s="17" customFormat="1" ht="14.4" x14ac:dyDescent="0.3">
      <c r="D176" s="24"/>
      <c r="E176" s="25"/>
      <c r="F176" s="26"/>
      <c r="G176" s="25"/>
    </row>
    <row r="177" spans="4:7" s="17" customFormat="1" ht="14.4" x14ac:dyDescent="0.3">
      <c r="D177" s="24"/>
      <c r="E177" s="25"/>
      <c r="F177" s="26"/>
      <c r="G177" s="25"/>
    </row>
    <row r="178" spans="4:7" s="17" customFormat="1" ht="14.4" x14ac:dyDescent="0.3">
      <c r="D178" s="24"/>
      <c r="E178" s="25"/>
      <c r="F178" s="25"/>
      <c r="G178" s="25"/>
    </row>
    <row r="179" spans="4:7" s="17" customFormat="1" ht="14.4" x14ac:dyDescent="0.3">
      <c r="D179" s="24"/>
      <c r="E179" s="25"/>
      <c r="F179" s="25"/>
      <c r="G179" s="25"/>
    </row>
    <row r="180" spans="4:7" s="17" customFormat="1" ht="14.4" x14ac:dyDescent="0.3">
      <c r="D180" s="24"/>
      <c r="E180" s="25"/>
      <c r="F180" s="25"/>
      <c r="G180" s="25"/>
    </row>
    <row r="181" spans="4:7" s="17" customFormat="1" ht="14.4" x14ac:dyDescent="0.3">
      <c r="D181" s="24"/>
      <c r="E181" s="25"/>
      <c r="F181" s="25"/>
      <c r="G181" s="25"/>
    </row>
    <row r="182" spans="4:7" s="17" customFormat="1" ht="14.4" x14ac:dyDescent="0.3">
      <c r="D182" s="24"/>
      <c r="E182" s="25"/>
      <c r="F182" s="25"/>
      <c r="G182" s="25"/>
    </row>
    <row r="183" spans="4:7" s="17" customFormat="1" ht="14.4" x14ac:dyDescent="0.3">
      <c r="D183" s="24"/>
      <c r="E183" s="25"/>
      <c r="F183" s="25"/>
      <c r="G183" s="25"/>
    </row>
    <row r="184" spans="4:7" s="17" customFormat="1" ht="14.4" x14ac:dyDescent="0.3">
      <c r="D184" s="24"/>
      <c r="E184" s="25"/>
      <c r="F184" s="25"/>
      <c r="G184" s="25"/>
    </row>
    <row r="185" spans="4:7" s="17" customFormat="1" ht="14.4" x14ac:dyDescent="0.3">
      <c r="D185" s="24"/>
      <c r="E185" s="25"/>
      <c r="F185" s="25"/>
      <c r="G185" s="25"/>
    </row>
    <row r="186" spans="4:7" s="17" customFormat="1" ht="14.4" x14ac:dyDescent="0.3">
      <c r="D186" s="24"/>
      <c r="E186" s="25"/>
      <c r="F186" s="25"/>
      <c r="G186" s="25"/>
    </row>
    <row r="187" spans="4:7" s="17" customFormat="1" ht="14.4" x14ac:dyDescent="0.3">
      <c r="D187" s="24"/>
      <c r="E187" s="25"/>
      <c r="F187" s="25"/>
      <c r="G187" s="25"/>
    </row>
    <row r="188" spans="4:7" s="17" customFormat="1" ht="14.4" x14ac:dyDescent="0.3">
      <c r="D188" s="24"/>
      <c r="E188" s="25"/>
      <c r="F188" s="25"/>
      <c r="G188" s="25"/>
    </row>
    <row r="189" spans="4:7" s="17" customFormat="1" ht="14.4" x14ac:dyDescent="0.3">
      <c r="D189" s="24"/>
      <c r="E189" s="25"/>
      <c r="F189" s="25"/>
      <c r="G189" s="25"/>
    </row>
    <row r="190" spans="4:7" s="17" customFormat="1" ht="14.4" x14ac:dyDescent="0.3">
      <c r="D190" s="24"/>
      <c r="E190" s="25"/>
      <c r="F190" s="25"/>
      <c r="G190" s="25"/>
    </row>
    <row r="191" spans="4:7" s="17" customFormat="1" ht="14.4" x14ac:dyDescent="0.3">
      <c r="D191" s="24"/>
      <c r="E191" s="25"/>
      <c r="F191" s="25"/>
      <c r="G191" s="25"/>
    </row>
    <row r="192" spans="4:7" s="17" customFormat="1" ht="14.4" x14ac:dyDescent="0.3">
      <c r="D192" s="24"/>
      <c r="E192" s="25"/>
      <c r="F192" s="25"/>
      <c r="G192" s="25"/>
    </row>
    <row r="193" spans="4:7" s="17" customFormat="1" ht="14.4" x14ac:dyDescent="0.3">
      <c r="D193" s="24"/>
      <c r="E193" s="25"/>
      <c r="F193" s="25"/>
      <c r="G193" s="25"/>
    </row>
    <row r="194" spans="4:7" s="17" customFormat="1" ht="14.4" x14ac:dyDescent="0.3">
      <c r="D194" s="24"/>
      <c r="E194" s="25"/>
      <c r="F194" s="25"/>
      <c r="G194" s="25"/>
    </row>
    <row r="195" spans="4:7" s="17" customFormat="1" ht="14.4" x14ac:dyDescent="0.3">
      <c r="D195" s="24"/>
      <c r="E195" s="25"/>
      <c r="F195" s="25"/>
      <c r="G195" s="25"/>
    </row>
    <row r="196" spans="4:7" s="17" customFormat="1" ht="14.4" x14ac:dyDescent="0.3">
      <c r="D196" s="24"/>
      <c r="E196" s="25"/>
      <c r="F196" s="25"/>
      <c r="G196" s="25"/>
    </row>
    <row r="197" spans="4:7" s="17" customFormat="1" ht="14.4" x14ac:dyDescent="0.3">
      <c r="D197" s="24"/>
      <c r="E197" s="25"/>
      <c r="F197" s="25"/>
      <c r="G197" s="25"/>
    </row>
    <row r="198" spans="4:7" s="17" customFormat="1" ht="14.4" x14ac:dyDescent="0.3">
      <c r="D198" s="24"/>
      <c r="E198" s="25"/>
      <c r="F198" s="25"/>
      <c r="G198" s="25"/>
    </row>
    <row r="199" spans="4:7" s="17" customFormat="1" ht="14.4" x14ac:dyDescent="0.3">
      <c r="D199" s="24"/>
      <c r="E199" s="25"/>
      <c r="F199" s="25"/>
      <c r="G199" s="25"/>
    </row>
    <row r="200" spans="4:7" s="17" customFormat="1" ht="14.4" x14ac:dyDescent="0.3">
      <c r="D200" s="24"/>
      <c r="E200" s="25"/>
      <c r="F200" s="25"/>
      <c r="G200" s="25"/>
    </row>
    <row r="201" spans="4:7" s="17" customFormat="1" ht="14.4" x14ac:dyDescent="0.3">
      <c r="D201" s="24"/>
      <c r="E201" s="25"/>
      <c r="F201" s="25"/>
      <c r="G201" s="25"/>
    </row>
    <row r="202" spans="4:7" s="17" customFormat="1" ht="14.4" x14ac:dyDescent="0.3">
      <c r="D202" s="24"/>
      <c r="E202" s="25"/>
      <c r="F202" s="25"/>
      <c r="G202" s="25"/>
    </row>
    <row r="203" spans="4:7" s="17" customFormat="1" ht="14.4" x14ac:dyDescent="0.3">
      <c r="D203" s="24"/>
      <c r="E203" s="25"/>
      <c r="F203" s="25"/>
      <c r="G203" s="25"/>
    </row>
    <row r="204" spans="4:7" s="17" customFormat="1" ht="14.4" x14ac:dyDescent="0.3">
      <c r="D204" s="24"/>
      <c r="E204" s="25"/>
      <c r="F204" s="25"/>
      <c r="G204" s="25"/>
    </row>
    <row r="205" spans="4:7" s="17" customFormat="1" ht="14.4" x14ac:dyDescent="0.3">
      <c r="D205" s="24"/>
      <c r="E205" s="25"/>
      <c r="F205" s="25"/>
      <c r="G205" s="25"/>
    </row>
    <row r="206" spans="4:7" s="17" customFormat="1" ht="14.4" x14ac:dyDescent="0.3">
      <c r="D206" s="24"/>
      <c r="E206" s="25"/>
      <c r="F206" s="25"/>
      <c r="G206" s="25"/>
    </row>
  </sheetData>
  <mergeCells count="8">
    <mergeCell ref="A7:A8"/>
    <mergeCell ref="C7:C8"/>
    <mergeCell ref="D7:D8"/>
    <mergeCell ref="A5:D5"/>
    <mergeCell ref="A1:D1"/>
    <mergeCell ref="A2:D2"/>
    <mergeCell ref="A3:D3"/>
    <mergeCell ref="A4:D4"/>
  </mergeCells>
  <pageMargins left="0.74803149606299213" right="0.35433070866141736" top="0.74803149606299213" bottom="0.55118110236220474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17</vt:lpstr>
      <vt:lpstr>'17'!Заголовки_для_печати</vt:lpstr>
      <vt:lpstr>'17'!Область_печати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Немтинов Евгений Викторович</dc:creator>
  <cp:lastModifiedBy>Вороная Елена Владимировная</cp:lastModifiedBy>
  <cp:lastPrinted>2018-10-30T07:58:18Z</cp:lastPrinted>
  <dcterms:created xsi:type="dcterms:W3CDTF">2006-09-16T00:00:00Z</dcterms:created>
  <dcterms:modified xsi:type="dcterms:W3CDTF">2018-10-30T08:29:25Z</dcterms:modified>
</cp:coreProperties>
</file>